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390" windowHeight="11325" tabRatio="883" activeTab="0"/>
  </bookViews>
  <sheets>
    <sheet name="入力シート" sheetId="1" r:id="rId1"/>
    <sheet name="実施要領書(表紙)" sheetId="2" r:id="rId2"/>
    <sheet name="実施要領書(特別簡易型）本文" sheetId="3" r:id="rId3"/>
    <sheet name="実施要領書(特別簡易型)別表" sheetId="4" r:id="rId4"/>
    <sheet name="特別簡易型第１号様式 " sheetId="5" r:id="rId5"/>
    <sheet name="実務経験証明書第２号様式" sheetId="6" r:id="rId6"/>
  </sheets>
  <definedNames>
    <definedName name="_xlnm.Print_Area" localSheetId="3">'実施要領書(特別簡易型)別表'!$A$1:$H$67</definedName>
    <definedName name="_xlnm.Print_Area" localSheetId="4">'特別簡易型第１号様式 '!$A$1:$F$99</definedName>
    <definedName name="_xlnm.Print_Titles" localSheetId="3">'実施要領書(特別簡易型)別表'!$3:$3</definedName>
    <definedName name="_xlnm.Print_Titles" localSheetId="4">'特別簡易型第１号様式 '!$20:$20</definedName>
  </definedNames>
  <calcPr fullCalcOnLoad="1"/>
</workbook>
</file>

<file path=xl/sharedStrings.xml><?xml version="1.0" encoding="utf-8"?>
<sst xmlns="http://schemas.openxmlformats.org/spreadsheetml/2006/main" count="450" uniqueCount="347">
  <si>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</si>
  <si>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</si>
  <si>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</si>
  <si>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</si>
  <si>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</si>
  <si>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</si>
  <si>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</si>
  <si>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</si>
  <si>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</si>
  <si>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</si>
  <si>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</si>
  <si>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</si>
  <si>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</si>
  <si>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</si>
  <si>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</si>
  <si>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</si>
  <si>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</si>
  <si>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</si>
  <si>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</si>
  <si>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</si>
  <si>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</si>
  <si>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</si>
  <si>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</si>
  <si>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</si>
  <si>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</si>
  <si>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</si>
  <si>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</si>
  <si>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</si>
  <si>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</si>
  <si>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</si>
  <si>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</si>
  <si>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</si>
  <si>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</si>
  <si>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</si>
  <si>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</si>
  <si>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</si>
  <si>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</si>
  <si>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</si>
  <si>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</si>
  <si>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</si>
  <si>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</si>
  <si>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</si>
  <si>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</si>
  <si>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</si>
  <si>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</si>
  <si>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</si>
  <si>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</si>
  <si>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</si>
  <si>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</si>
  <si>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</si>
  <si>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</si>
  <si>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</si>
  <si>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</si>
  <si>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</si>
  <si>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</si>
  <si>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</si>
  <si>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</si>
  <si>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</si>
  <si>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</si>
  <si>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</si>
  <si>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</si>
  <si>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</si>
  <si>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</si>
  <si>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</si>
  <si>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</si>
  <si>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</si>
  <si>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</si>
  <si>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</si>
  <si>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</si>
  <si>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</si>
  <si>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</si>
  <si>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</si>
  <si>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</si>
  <si>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</si>
  <si>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</si>
  <si>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</si>
  <si>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</si>
  <si>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</si>
  <si>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</si>
  <si>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</si>
  <si>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</si>
  <si>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</si>
  <si>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</si>
  <si>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</si>
  <si>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</si>
  <si>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</si>
  <si>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</si>
  <si>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</si>
  <si>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</si>
  <si>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</si>
  <si>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</si>
  <si>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</si>
  <si>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</si>
  <si>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品質管理マネジメントシステムの取組状況</t>
  </si>
  <si>
    <t>同種工事(企業)○○○○○○○○○○○○○○○○○○○○○○○○</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</si>
  <si>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</si>
  <si>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</si>
  <si>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</si>
  <si>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</si>
  <si>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</si>
  <si>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</si>
  <si>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</si>
  <si>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</si>
  <si>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</si>
  <si>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</si>
  <si>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</si>
  <si>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</si>
  <si>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</si>
  <si>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</si>
  <si>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</si>
  <si>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</si>
  <si>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</si>
  <si>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</si>
  <si>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</si>
  <si>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</si>
  <si>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</si>
  <si>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</si>
  <si>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</si>
  <si>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</si>
  <si>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</si>
  <si>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</si>
  <si>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</si>
  <si>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</si>
  <si>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</si>
  <si>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</si>
  <si>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</si>
  <si>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</si>
  <si>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</si>
  <si>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</si>
  <si>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</si>
  <si>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</si>
  <si>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</si>
  <si>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</si>
  <si>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</si>
  <si>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</si>
  <si>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</si>
  <si>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</si>
  <si>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</si>
  <si>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</si>
  <si>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</si>
  <si>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</si>
  <si>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</si>
  <si>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</si>
  <si>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</si>
  <si>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</si>
  <si>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</si>
  <si>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</si>
  <si>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</si>
  <si>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</si>
  <si>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</si>
  <si>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</si>
  <si>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</si>
  <si>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</si>
  <si>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</si>
  <si>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</si>
  <si>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</si>
  <si>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</si>
  <si>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</si>
  <si>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</si>
  <si>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</si>
  <si>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</si>
  <si>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</si>
  <si>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</si>
  <si>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</si>
  <si>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</si>
  <si>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</si>
  <si>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</si>
  <si>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</si>
  <si>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</si>
  <si>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</si>
  <si>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</si>
  <si>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</si>
  <si>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</si>
  <si>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</si>
  <si>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</si>
  <si>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</si>
  <si>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</si>
  <si>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　評価は技術資料受付期間(入札期間)内に提出された技術資料のみで行います。</t>
  </si>
  <si>
    <t>　企業の施工能力及び企業の社会性・信頼性において、様式あるいは添付資料不足の場合や添付資料で実績等が確認できない場合、またその内容に疑義がある場合は、その実績等を評価しません。</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</si>
  <si>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</si>
  <si>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</si>
  <si>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</si>
  <si>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</si>
  <si>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</si>
  <si>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</si>
  <si>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</si>
  <si>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</si>
  <si>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</si>
  <si>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</si>
  <si>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</si>
  <si>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</si>
  <si>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</si>
  <si>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</si>
  <si>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</si>
  <si>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</si>
  <si>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</si>
  <si>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</si>
  <si>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</si>
  <si>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</si>
  <si>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</si>
  <si>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</si>
  <si>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</si>
  <si>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</si>
  <si>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</si>
  <si>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</si>
  <si>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</si>
  <si>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</si>
  <si>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</si>
  <si>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</si>
  <si>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</si>
  <si>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</si>
  <si>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</si>
  <si>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</si>
  <si>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</si>
  <si>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</si>
  <si>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　共同企業体の構成員としての実績の場合は、出資比率が10分の2以上のものに限ります。その場合は出資比率を証明する書類（ＪＶ協定書の写し等）を合わせて提出してください。</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</si>
  <si>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</si>
  <si>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</si>
  <si>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</si>
  <si>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</si>
  <si>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</si>
  <si>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</si>
  <si>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</si>
  <si>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</si>
  <si>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</si>
  <si>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</si>
  <si>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</si>
  <si>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</si>
  <si>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</si>
  <si>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</si>
  <si>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</si>
  <si>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</si>
  <si>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</si>
  <si>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</si>
  <si>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</si>
  <si>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災害協力</t>
  </si>
  <si>
    <t>環境に対する姿勢</t>
  </si>
  <si>
    <t>地域精通度・地域との密着度</t>
  </si>
  <si>
    <t>災害協力</t>
  </si>
  <si>
    <t>市内経済への貢献</t>
  </si>
  <si>
    <t>災害発生時の対応力</t>
  </si>
  <si>
    <t>総合評価落札方式実施要領書(特別簡易型)</t>
  </si>
  <si>
    <t>その他（企業の社会性・信頼性に資する項目）</t>
  </si>
  <si>
    <t>入札価格の状況</t>
  </si>
  <si>
    <t>評価項目「地域精通度・地域との密着度」において評価基準とする「工事施工場所の行政区」</t>
  </si>
  <si>
    <t>地域精通度・地域との密着度</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</si>
  <si>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</si>
  <si>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</si>
  <si>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</si>
  <si>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</si>
  <si>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</si>
  <si>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</si>
  <si>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</si>
  <si>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</si>
  <si>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</si>
  <si>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</si>
  <si>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</si>
  <si>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</si>
  <si>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</si>
  <si>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</si>
  <si>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</si>
  <si>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</si>
  <si>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</si>
  <si>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</si>
  <si>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技術資料提出書の記入及び添付資料の作成にあたっては、横浜市財政局公共施設・事業調整課のホームページより「横浜市総合評価落札方式　ガイドライン」をご参照ください。</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</si>
  <si>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</si>
  <si>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</si>
  <si>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</si>
  <si>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</si>
  <si>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</si>
  <si>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</si>
  <si>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</si>
  <si>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</si>
  <si>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</si>
  <si>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</si>
  <si>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土木（土木・造園）</t>
  </si>
  <si>
    <t>開札日</t>
  </si>
  <si>
    <t>過去2年間の基準日計算</t>
  </si>
  <si>
    <t>西暦で記入してください。(例　2015/4/1)</t>
  </si>
  <si>
    <t>氏名</t>
  </si>
  <si>
    <t>生年月日</t>
  </si>
  <si>
    <t>添付書類</t>
  </si>
  <si>
    <t>記入上の注意</t>
  </si>
  <si>
    <t>専任指導技術者</t>
  </si>
  <si>
    <t>配置予定現場代理人</t>
  </si>
  <si>
    <t>資格等の名称</t>
  </si>
  <si>
    <t>添付書類</t>
  </si>
  <si>
    <t>主任技術者となりうる国家資格等</t>
  </si>
  <si>
    <t>主任技術者となりうる実務経験</t>
  </si>
  <si>
    <t>■「適用」となっている評価項目について、次のとおり実績等を申告します。</t>
  </si>
  <si>
    <t>※８</t>
  </si>
  <si>
    <t>※９</t>
  </si>
  <si>
    <t>　専任指導技術者の実績等での評価を希望する場合は、第1号様式の該当する評価項目の欄に必要事項を記載して申請してください。</t>
  </si>
  <si>
    <t>最終年月日</t>
  </si>
  <si>
    <t>　年</t>
  </si>
  <si>
    <t>　月</t>
  </si>
  <si>
    <t>開札日の3ヶ月前の月末</t>
  </si>
  <si>
    <t>開始年月日</t>
  </si>
  <si>
    <t>最終日の2年前の翌月1日</t>
  </si>
  <si>
    <t>　日</t>
  </si>
  <si>
    <t>添付資料</t>
  </si>
  <si>
    <t>12  技術提案等が達成されなかったときの取扱</t>
  </si>
  <si>
    <t>次の者は、　　　　　　　　工事業に関し記載されたとおりの実務経験を有することに相違ないことを証明します。</t>
  </si>
  <si>
    <t>証明者</t>
  </si>
  <si>
    <t>代表者職氏名</t>
  </si>
  <si>
    <t>㊞</t>
  </si>
  <si>
    <t>技術者の氏名</t>
  </si>
  <si>
    <t>実務経験の内容</t>
  </si>
  <si>
    <t>実務経験年数</t>
  </si>
  <si>
    <t>従事した立場</t>
  </si>
  <si>
    <t>勤務先</t>
  </si>
  <si>
    <t>実務経験のある期間</t>
  </si>
  <si>
    <t>　　年　　月から
　　年　　月まで</t>
  </si>
  <si>
    <t>平成　　年　　月　　日</t>
  </si>
  <si>
    <t>　年　月～　年　月</t>
  </si>
  <si>
    <t>実　務　経　験　証　明　書</t>
  </si>
  <si>
    <t>　※ 「実務経験の内容」欄は、従事した主な工事名等を具体的に記載すること</t>
  </si>
  <si>
    <t>※プルダウンメニューから見本が出ます（上書き編集してください）。</t>
  </si>
  <si>
    <t xml:space="preserve">
</t>
  </si>
  <si>
    <t>配置予定技術者（監理技術者）</t>
  </si>
  <si>
    <t>配置予定技術者（主任技術者）</t>
  </si>
  <si>
    <t>　　Ａ－ （Ｂ＋Ｃ２）／（Ｂ＋Ｃ１）×Ａ</t>
  </si>
  <si>
    <t>配置予定技術者の資格</t>
  </si>
  <si>
    <t>不適用</t>
  </si>
  <si>
    <t>☆配置予定技術者氏名等記入欄　（技術者に関する評価項目が不適用の場合は記入不要です）</t>
  </si>
  <si>
    <t>☆専任指導技術者氏名記入欄　（評価項目「若手技術者の育成」が不適用の場合は記入不要です）</t>
  </si>
  <si>
    <t>　本市発注工事には、水道局、交通局及び医療局病院経営本部（旧病院経営局）発注工事を含みます。なお、公社等の発注工事は含みません。</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</si>
  <si>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代表構成員のみ）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</si>
  <si>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 xml:space="preserve">  落札者は、提出した技術資料に基づき施工しなければなりません。</t>
  </si>
  <si>
    <t>　入札参加者の技術資料の虚偽記載等明らかに悪質な行為があった場合には、横浜市指名停止等措置要綱の規定に基づき指名停止等を行います。</t>
  </si>
  <si>
    <t>オ</t>
  </si>
  <si>
    <t>カ</t>
  </si>
  <si>
    <t>キ</t>
  </si>
  <si>
    <t>ク</t>
  </si>
  <si>
    <t>　技術資料の審査は入札参加資格の確認よりも早い段階で行うため、第１号様式に記載の配置予定技術者が、入札参加資格確認の段階で配置が認められない場合があります。この際、入札参加資格を満たす別の技術者にて届け出ていただきますが、技術評価点が異なる者の場合は「12 技術提案等が達成されなかったときの取扱」の対象になることに注意してください。</t>
  </si>
  <si>
    <t>第２号様式</t>
  </si>
  <si>
    <r>
      <t>☆配置予定現場代理人氏名記入欄</t>
    </r>
    <r>
      <rPr>
        <sz val="9"/>
        <rFont val="ＭＳ Ｐ明朝"/>
        <family val="1"/>
      </rPr>
      <t>　(評価項目「配置予定現場代理人の横浜市優良工事現場責任者表彰の実績」が不適用の場合は記入不要です)</t>
    </r>
  </si>
  <si>
    <t>　落札者の技術提案等が達成されなかったときは、自然災害等の不可抗力により達成されない場合を除き、落札者は本市の指定する期間内に次の式により算出した違約金を支払わなければなりません。</t>
  </si>
  <si>
    <t>　前項の場合、違約金の額は、次の式により算定した額に、取引に係る消費税及び地方消費税相当額を加えた額とします。</t>
  </si>
  <si>
    <t>平成２７年１０月1日版</t>
  </si>
  <si>
    <t>ほ装</t>
  </si>
  <si>
    <t>鶴見土木管内舗装補修（応急修理・雪害対策）工事（その６）</t>
  </si>
  <si>
    <t>鶴見区鶴見土木事務所</t>
  </si>
  <si>
    <t>横浜市鶴見区鶴見中央３－２８－１</t>
  </si>
  <si>
    <t>510-1669</t>
  </si>
  <si>
    <t>505-1318</t>
  </si>
  <si>
    <t>鶴見区</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</si>
</sst>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411]ge\.m\.d;@"/>
    <numFmt numFmtId="193" formatCode="mmm\-yyyy"/>
    <numFmt numFmtId="194" formatCode="yyyy/m/d;@"/>
  </numFmts>
  <fonts count="72">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8"/>
      <name val="ＭＳ Ｐ明朝"/>
      <family val="1"/>
    </font>
    <font>
      <sz val="11"/>
      <name val="ＭＳ 明朝"/>
      <family val="1"/>
    </font>
    <font>
      <sz val="16"/>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9"/>
      <name val="ＭＳ Ｐゴシック"/>
      <family val="3"/>
    </font>
    <font>
      <sz val="10"/>
      <color indexed="9"/>
      <name val="ＭＳ Ｐ明朝"/>
      <family val="1"/>
    </font>
    <font>
      <sz val="8"/>
      <color indexed="55"/>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0"/>
      <color theme="0"/>
      <name val="ＭＳ Ｐゴシック"/>
      <family val="3"/>
    </font>
    <font>
      <sz val="9"/>
      <color theme="1"/>
      <name val="ＭＳ Ｐ明朝"/>
      <family val="1"/>
    </font>
    <font>
      <sz val="10"/>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1" tint="0.3499900102615356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hair"/>
      <right style="hair"/>
      <top style="hair"/>
      <bottom style="thin"/>
    </border>
    <border>
      <left style="hair"/>
      <right style="hair"/>
      <top>
        <color indexed="63"/>
      </top>
      <bottom style="hair"/>
    </border>
    <border>
      <left style="thin"/>
      <right style="hair"/>
      <top style="thin"/>
      <bottom style="thin"/>
    </border>
    <border>
      <left style="hair"/>
      <right style="hair"/>
      <top style="hair"/>
      <bottom style="hair"/>
    </border>
    <border>
      <left style="thin">
        <color theme="0"/>
      </left>
      <right style="thin"/>
      <top style="thin"/>
      <bottom style="thin"/>
    </border>
    <border>
      <left style="thin"/>
      <right style="thin">
        <color theme="0"/>
      </right>
      <top style="thin"/>
      <bottom style="thin"/>
    </border>
    <border>
      <left style="thin">
        <color theme="0"/>
      </left>
      <right style="thin">
        <color theme="0"/>
      </right>
      <top style="thin"/>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style="thin"/>
      <right style="thin"/>
      <top style="hair"/>
      <bottom>
        <color indexed="63"/>
      </bottom>
    </border>
    <border diagonalUp="1">
      <left style="thin"/>
      <right style="thin"/>
      <top>
        <color indexed="63"/>
      </top>
      <bottom style="thin"/>
      <diagonal style="thin"/>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style="thin"/>
      <right style="hair"/>
      <top style="hair"/>
      <bottom style="hair"/>
    </border>
    <border>
      <left style="thin"/>
      <right style="hair"/>
      <top style="hair"/>
      <bottom style="thin"/>
    </border>
    <border>
      <left style="thin"/>
      <right style="hair"/>
      <top>
        <color indexed="63"/>
      </top>
      <bottom style="hair"/>
    </border>
    <border>
      <left style="hair"/>
      <right style="hair"/>
      <top style="thin"/>
      <bottom style="thin"/>
    </border>
    <border>
      <left style="hair"/>
      <right>
        <color indexed="63"/>
      </right>
      <top style="thin"/>
      <bottom style="thin"/>
    </border>
    <border>
      <left style="hair"/>
      <right>
        <color indexed="63"/>
      </right>
      <top>
        <color indexed="63"/>
      </top>
      <bottom style="hair"/>
    </border>
    <border>
      <left>
        <color indexed="63"/>
      </left>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4" fillId="0" borderId="0" applyNumberFormat="0" applyFill="0" applyBorder="0" applyAlignment="0" applyProtection="0"/>
    <xf numFmtId="0" fontId="67" fillId="32" borderId="0" applyNumberFormat="0" applyBorder="0" applyAlignment="0" applyProtection="0"/>
  </cellStyleXfs>
  <cellXfs count="432">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8"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0" borderId="16" xfId="0" applyFont="1" applyFill="1" applyBorder="1" applyAlignment="1">
      <alignment vertical="center"/>
    </xf>
    <xf numFmtId="0" fontId="0" fillId="0" borderId="16"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51" xfId="0" applyNumberFormat="1" applyFont="1" applyFill="1" applyBorder="1" applyAlignment="1">
      <alignment vertical="center"/>
    </xf>
    <xf numFmtId="176" fontId="0" fillId="0" borderId="17" xfId="0" applyNumberFormat="1"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0" fontId="6" fillId="0" borderId="0" xfId="0" applyFont="1" applyAlignment="1" applyProtection="1" quotePrefix="1">
      <alignment vertical="center"/>
      <protection locked="0"/>
    </xf>
    <xf numFmtId="0" fontId="6" fillId="0" borderId="0" xfId="0" applyFont="1" applyBorder="1" applyAlignment="1" applyProtection="1">
      <alignment horizontal="center" vertical="center"/>
      <protection/>
    </xf>
    <xf numFmtId="0" fontId="6" fillId="0" borderId="13" xfId="0" applyFont="1" applyBorder="1" applyAlignment="1" applyProtection="1">
      <alignment vertical="center" wrapText="1"/>
      <protection/>
    </xf>
    <xf numFmtId="0" fontId="6" fillId="35" borderId="15" xfId="0" applyFont="1" applyFill="1" applyBorder="1" applyAlignment="1" applyProtection="1">
      <alignment vertical="center"/>
      <protection locked="0"/>
    </xf>
    <xf numFmtId="0" fontId="6" fillId="0" borderId="12"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12" xfId="0" applyFont="1" applyBorder="1" applyAlignment="1" applyProtection="1">
      <alignment horizontal="center" vertical="center" wrapText="1"/>
      <protection/>
    </xf>
    <xf numFmtId="0" fontId="15" fillId="0" borderId="10" xfId="0" applyFont="1" applyBorder="1" applyAlignment="1" applyProtection="1">
      <alignment vertical="center"/>
      <protection/>
    </xf>
    <xf numFmtId="0" fontId="15"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0" fillId="0" borderId="52"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pplyProtection="1">
      <alignment vertical="center"/>
      <protection/>
    </xf>
    <xf numFmtId="176" fontId="0" fillId="0" borderId="0" xfId="0" applyNumberFormat="1" applyFont="1" applyFill="1" applyBorder="1" applyAlignment="1">
      <alignment vertical="center"/>
    </xf>
    <xf numFmtId="176" fontId="0" fillId="0" borderId="53" xfId="0" applyNumberFormat="1" applyFont="1" applyFill="1" applyBorder="1" applyAlignment="1">
      <alignment vertical="center"/>
    </xf>
    <xf numFmtId="176" fontId="0" fillId="0" borderId="52" xfId="0" applyNumberFormat="1" applyFont="1" applyFill="1" applyBorder="1" applyAlignment="1">
      <alignment vertical="center"/>
    </xf>
    <xf numFmtId="0" fontId="6" fillId="0" borderId="0" xfId="0" applyFont="1" applyAlignment="1" applyProtection="1">
      <alignment horizontal="left" vertical="center" wrapText="1"/>
      <protection locked="0"/>
    </xf>
    <xf numFmtId="0" fontId="28" fillId="0" borderId="0" xfId="0" applyFont="1" applyAlignment="1">
      <alignment vertical="center"/>
    </xf>
    <xf numFmtId="0" fontId="28" fillId="0" borderId="0" xfId="0" applyFont="1" applyAlignment="1">
      <alignment horizontal="right" vertical="center"/>
    </xf>
    <xf numFmtId="0" fontId="28" fillId="0" borderId="54" xfId="0" applyFont="1" applyBorder="1" applyAlignment="1">
      <alignment vertical="center"/>
    </xf>
    <xf numFmtId="0" fontId="28" fillId="0" borderId="55" xfId="0" applyFont="1" applyBorder="1" applyAlignment="1">
      <alignment horizontal="center" vertical="center"/>
    </xf>
    <xf numFmtId="0" fontId="28" fillId="0" borderId="56" xfId="0" applyFont="1" applyBorder="1" applyAlignment="1">
      <alignment vertical="center"/>
    </xf>
    <xf numFmtId="0" fontId="28" fillId="0" borderId="56" xfId="0" applyFont="1" applyBorder="1" applyAlignment="1">
      <alignment vertical="center" wrapText="1"/>
    </xf>
    <xf numFmtId="0" fontId="28" fillId="0" borderId="57" xfId="0" applyFont="1" applyBorder="1" applyAlignment="1">
      <alignment vertical="center"/>
    </xf>
    <xf numFmtId="0" fontId="6" fillId="0" borderId="16"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35" borderId="15" xfId="0" applyFont="1" applyFill="1" applyBorder="1" applyAlignment="1" applyProtection="1">
      <alignment horizontal="center" vertical="center"/>
      <protection locked="0"/>
    </xf>
    <xf numFmtId="0" fontId="15" fillId="0" borderId="12" xfId="0" applyFont="1" applyBorder="1" applyAlignment="1" applyProtection="1">
      <alignment vertical="center" wrapText="1"/>
      <protection/>
    </xf>
    <xf numFmtId="0" fontId="6" fillId="36" borderId="10" xfId="0" applyFont="1" applyFill="1" applyBorder="1" applyAlignment="1" applyProtection="1">
      <alignment horizontal="center" vertical="center"/>
      <protection locked="0"/>
    </xf>
    <xf numFmtId="0" fontId="69" fillId="37" borderId="58" xfId="0" applyFont="1" applyFill="1" applyBorder="1" applyAlignment="1" applyProtection="1">
      <alignment horizontal="center" vertical="center"/>
      <protection locked="0"/>
    </xf>
    <xf numFmtId="0" fontId="69" fillId="37" borderId="59" xfId="0" applyFont="1" applyFill="1" applyBorder="1" applyAlignment="1" applyProtection="1">
      <alignment horizontal="center" vertical="center" wrapText="1"/>
      <protection/>
    </xf>
    <xf numFmtId="0" fontId="69" fillId="37" borderId="60" xfId="0" applyFont="1" applyFill="1" applyBorder="1" applyAlignment="1" applyProtection="1">
      <alignment horizontal="center" vertical="center"/>
      <protection locked="0"/>
    </xf>
    <xf numFmtId="0" fontId="21" fillId="0" borderId="48" xfId="0" applyFont="1" applyFill="1" applyBorder="1" applyAlignment="1">
      <alignment horizontal="left" wrapText="1"/>
    </xf>
    <xf numFmtId="0" fontId="6" fillId="36" borderId="10" xfId="0" applyFont="1" applyFill="1" applyBorder="1" applyAlignment="1" applyProtection="1">
      <alignment horizontal="center" vertical="center"/>
      <protection locked="0"/>
    </xf>
    <xf numFmtId="0" fontId="6" fillId="0" borderId="40" xfId="0" applyFont="1" applyBorder="1" applyAlignment="1" applyProtection="1">
      <alignment horizontal="left" vertical="top" wrapText="1"/>
      <protection/>
    </xf>
    <xf numFmtId="0" fontId="6" fillId="0" borderId="15" xfId="0" applyFont="1" applyBorder="1" applyAlignment="1" applyProtection="1">
      <alignment horizontal="center" vertical="center" wrapText="1" shrinkToFit="1"/>
      <protection/>
    </xf>
    <xf numFmtId="0" fontId="6" fillId="0" borderId="0" xfId="0" applyFont="1" applyBorder="1" applyAlignment="1" applyProtection="1">
      <alignment horizontal="right" vertical="center"/>
      <protection/>
    </xf>
    <xf numFmtId="0" fontId="6" fillId="0" borderId="0" xfId="0" applyFont="1" applyFill="1" applyAlignment="1" applyProtection="1">
      <alignment vertical="center"/>
      <protection locked="0"/>
    </xf>
    <xf numFmtId="0" fontId="6" fillId="0" borderId="0" xfId="0" applyFont="1" applyAlignment="1" applyProtection="1">
      <alignment vertical="center" wrapText="1"/>
      <protection/>
    </xf>
    <xf numFmtId="0" fontId="6"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wrapText="1"/>
      <protection/>
    </xf>
    <xf numFmtId="0" fontId="69" fillId="37" borderId="58" xfId="0" applyFont="1" applyFill="1" applyBorder="1" applyAlignment="1" applyProtection="1">
      <alignment horizontal="center" vertical="center"/>
      <protection/>
    </xf>
    <xf numFmtId="0" fontId="15" fillId="0" borderId="10" xfId="0" applyFont="1" applyFill="1" applyBorder="1" applyAlignment="1" applyProtection="1">
      <alignment vertical="center" wrapText="1"/>
      <protection/>
    </xf>
    <xf numFmtId="0" fontId="6" fillId="0" borderId="10" xfId="0" applyFont="1" applyFill="1" applyBorder="1" applyAlignment="1" applyProtection="1">
      <alignment vertical="center"/>
      <protection/>
    </xf>
    <xf numFmtId="0" fontId="6" fillId="0" borderId="15" xfId="0" applyFont="1" applyBorder="1" applyAlignment="1" applyProtection="1">
      <alignment vertical="center"/>
      <protection/>
    </xf>
    <xf numFmtId="0" fontId="15" fillId="0" borderId="12" xfId="0" applyFont="1" applyFill="1" applyBorder="1" applyAlignment="1" applyProtection="1">
      <alignment horizontal="left" vertical="center" wrapText="1"/>
      <protection/>
    </xf>
    <xf numFmtId="0" fontId="27" fillId="0" borderId="12" xfId="0" applyFont="1" applyFill="1" applyBorder="1" applyAlignment="1" applyProtection="1">
      <alignment horizontal="left" vertical="center" wrapText="1"/>
      <protection/>
    </xf>
    <xf numFmtId="0" fontId="27" fillId="0" borderId="10" xfId="0" applyFont="1" applyFill="1" applyBorder="1" applyAlignment="1" applyProtection="1">
      <alignment vertical="center"/>
      <protection/>
    </xf>
    <xf numFmtId="0" fontId="27"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Border="1" applyAlignment="1" applyProtection="1">
      <alignment/>
      <protection/>
    </xf>
    <xf numFmtId="0" fontId="10" fillId="0" borderId="49" xfId="0" applyFont="1" applyFill="1" applyBorder="1" applyAlignment="1">
      <alignment vertical="top" wrapText="1"/>
    </xf>
    <xf numFmtId="0" fontId="0" fillId="0" borderId="0" xfId="0" applyFont="1" applyFill="1" applyAlignment="1">
      <alignment vertical="center"/>
    </xf>
    <xf numFmtId="0" fontId="15"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shrinkToFit="1"/>
      <protection/>
    </xf>
    <xf numFmtId="0" fontId="0" fillId="34" borderId="14" xfId="0" applyFill="1" applyBorder="1" applyAlignment="1" applyProtection="1">
      <alignment horizontal="center" vertical="center"/>
      <protection/>
    </xf>
    <xf numFmtId="0" fontId="0" fillId="34" borderId="5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2"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61" xfId="0" applyFont="1" applyBorder="1" applyAlignment="1" applyProtection="1">
      <alignment horizontal="left" vertical="center" wrapText="1"/>
      <protection/>
    </xf>
    <xf numFmtId="0" fontId="2" fillId="0" borderId="62" xfId="0" applyFont="1" applyBorder="1" applyAlignment="1" applyProtection="1">
      <alignment horizontal="left" vertical="center"/>
      <protection/>
    </xf>
    <xf numFmtId="0" fontId="2" fillId="0" borderId="63" xfId="0" applyFont="1" applyBorder="1" applyAlignment="1" applyProtection="1">
      <alignment horizontal="left" vertical="center"/>
      <protection/>
    </xf>
    <xf numFmtId="0" fontId="0" fillId="34" borderId="64" xfId="0" applyFill="1" applyBorder="1" applyAlignment="1" applyProtection="1">
      <alignment horizontal="left" vertical="center"/>
      <protection/>
    </xf>
    <xf numFmtId="0" fontId="0" fillId="34" borderId="65" xfId="0" applyFill="1" applyBorder="1" applyAlignment="1" applyProtection="1">
      <alignment horizontal="left" vertical="center"/>
      <protection/>
    </xf>
    <xf numFmtId="0" fontId="0" fillId="34" borderId="66" xfId="0" applyFill="1" applyBorder="1" applyAlignment="1" applyProtection="1">
      <alignment horizontal="left" vertical="center"/>
      <protection/>
    </xf>
    <xf numFmtId="0" fontId="0" fillId="34" borderId="64" xfId="0" applyFill="1" applyBorder="1" applyAlignment="1" applyProtection="1">
      <alignment horizontal="center" vertical="center" wrapText="1"/>
      <protection/>
    </xf>
    <xf numFmtId="0" fontId="0" fillId="34" borderId="66" xfId="0" applyFill="1" applyBorder="1" applyAlignment="1" applyProtection="1">
      <alignment horizontal="center" vertical="center" wrapText="1"/>
      <protection/>
    </xf>
    <xf numFmtId="0" fontId="0" fillId="34" borderId="67"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68"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61" xfId="0" applyFill="1" applyBorder="1" applyAlignment="1" applyProtection="1">
      <alignment horizontal="left" vertical="center" wrapText="1"/>
      <protection/>
    </xf>
    <xf numFmtId="0" fontId="0" fillId="0" borderId="63"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21" xfId="0" applyFont="1" applyFill="1" applyBorder="1" applyAlignment="1">
      <alignment vertical="center"/>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horizontal="left" vertical="top" wrapText="1"/>
    </xf>
    <xf numFmtId="0" fontId="4" fillId="0" borderId="0" xfId="0" applyFont="1" applyAlignment="1">
      <alignment horizontal="left" vertical="top"/>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68" fillId="0" borderId="10" xfId="0" applyFont="1" applyBorder="1" applyAlignment="1">
      <alignment vertical="center" wrapText="1"/>
    </xf>
    <xf numFmtId="0" fontId="68" fillId="0" borderId="10" xfId="0" applyFont="1" applyFill="1" applyBorder="1" applyAlignment="1">
      <alignment vertical="center" wrapText="1"/>
    </xf>
    <xf numFmtId="0" fontId="70" fillId="0" borderId="10" xfId="0" applyFont="1" applyBorder="1" applyAlignment="1">
      <alignment vertical="center" wrapText="1"/>
    </xf>
    <xf numFmtId="0" fontId="68" fillId="0" borderId="28" xfId="0" applyFont="1" applyBorder="1" applyAlignment="1">
      <alignment horizontal="left" vertical="top" wrapText="1"/>
    </xf>
    <xf numFmtId="0" fontId="68" fillId="0" borderId="0" xfId="0" applyFont="1" applyBorder="1" applyAlignment="1">
      <alignment horizontal="left" vertical="top" wrapText="1"/>
    </xf>
    <xf numFmtId="0" fontId="68" fillId="0" borderId="0" xfId="0" applyFont="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Border="1" applyAlignment="1">
      <alignment horizontal="left" vertical="top" wrapText="1"/>
    </xf>
    <xf numFmtId="0" fontId="10" fillId="0" borderId="12" xfId="0" applyFont="1" applyFill="1" applyBorder="1" applyAlignment="1">
      <alignment horizontal="left" vertical="top" wrapText="1"/>
    </xf>
    <xf numFmtId="0" fontId="10" fillId="0" borderId="47" xfId="0" applyFont="1" applyFill="1" applyBorder="1" applyAlignment="1">
      <alignment horizontal="left" vertical="top" wrapText="1"/>
    </xf>
    <xf numFmtId="0" fontId="11" fillId="0" borderId="12"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48"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10" fillId="0" borderId="12"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8"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20" fillId="0" borderId="12"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69" xfId="0" applyFont="1" applyFill="1" applyBorder="1" applyAlignment="1">
      <alignment horizontal="justify" vertical="top" wrapText="1"/>
    </xf>
    <xf numFmtId="0" fontId="10" fillId="0" borderId="48"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1" fillId="0" borderId="69"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1" fillId="0" borderId="12" xfId="0" applyFont="1" applyFill="1" applyBorder="1" applyAlignment="1">
      <alignment horizontal="left" vertical="top" wrapText="1"/>
    </xf>
    <xf numFmtId="0" fontId="21" fillId="0" borderId="40" xfId="0" applyFont="1" applyFill="1" applyBorder="1" applyAlignment="1">
      <alignment horizontal="left" vertical="top"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70" xfId="0" applyFont="1" applyFill="1" applyBorder="1" applyAlignment="1">
      <alignment horizontal="center" vertical="center" wrapText="1"/>
    </xf>
    <xf numFmtId="0" fontId="21" fillId="0" borderId="48" xfId="0" applyFont="1" applyFill="1" applyBorder="1" applyAlignment="1">
      <alignment horizontal="left" vertical="center" wrapText="1"/>
    </xf>
    <xf numFmtId="0" fontId="6" fillId="0" borderId="0" xfId="0" applyFont="1" applyFill="1" applyAlignment="1">
      <alignment horizontal="left" vertical="top"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70" xfId="0" applyFont="1" applyFill="1" applyBorder="1" applyAlignment="1">
      <alignment horizontal="center" vertical="top" wrapText="1"/>
    </xf>
    <xf numFmtId="0" fontId="6" fillId="0" borderId="0" xfId="0" applyFont="1" applyFill="1" applyAlignment="1">
      <alignment horizontal="left" vertical="top"/>
    </xf>
    <xf numFmtId="0" fontId="10" fillId="0" borderId="0" xfId="0" applyFont="1" applyFill="1" applyAlignment="1">
      <alignment vertical="top" wrapText="1" shrinkToFit="1"/>
    </xf>
    <xf numFmtId="0" fontId="10" fillId="0" borderId="0" xfId="0" applyFont="1" applyAlignment="1">
      <alignment vertical="top" wrapText="1" shrinkToFit="1"/>
    </xf>
    <xf numFmtId="0" fontId="11" fillId="0" borderId="10" xfId="0" applyFont="1" applyFill="1" applyBorder="1" applyAlignment="1">
      <alignment horizontal="center" vertical="center" wrapText="1"/>
    </xf>
    <xf numFmtId="0" fontId="6" fillId="36" borderId="10"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xf>
    <xf numFmtId="0" fontId="69" fillId="37" borderId="59" xfId="0" applyFont="1" applyFill="1" applyBorder="1" applyAlignment="1" applyProtection="1">
      <alignment horizontal="center" vertical="center"/>
      <protection/>
    </xf>
    <xf numFmtId="0" fontId="69" fillId="37" borderId="60" xfId="0" applyFont="1" applyFill="1" applyBorder="1" applyAlignment="1" applyProtection="1">
      <alignment horizontal="center" vertical="center"/>
      <protection/>
    </xf>
    <xf numFmtId="0" fontId="6" fillId="0" borderId="12" xfId="0" applyFont="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6" fillId="0" borderId="15"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36" borderId="10" xfId="0" applyFont="1" applyFill="1" applyBorder="1" applyAlignment="1" applyProtection="1">
      <alignment horizontal="center" vertical="center"/>
      <protection locked="0"/>
    </xf>
    <xf numFmtId="0" fontId="6" fillId="0" borderId="15"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10" xfId="0" applyFont="1" applyBorder="1" applyAlignment="1" applyProtection="1">
      <alignment vertical="center" wrapText="1"/>
      <protection/>
    </xf>
    <xf numFmtId="0" fontId="6" fillId="36" borderId="15" xfId="0" applyFont="1" applyFill="1" applyBorder="1" applyAlignment="1" applyProtection="1">
      <alignment horizontal="center" vertical="center"/>
      <protection locked="0"/>
    </xf>
    <xf numFmtId="0" fontId="6" fillId="36" borderId="13" xfId="0" applyFont="1" applyFill="1" applyBorder="1" applyAlignment="1" applyProtection="1">
      <alignment horizontal="center" vertical="center"/>
      <protection locked="0"/>
    </xf>
    <xf numFmtId="0" fontId="6" fillId="0" borderId="15" xfId="0" applyFont="1" applyBorder="1" applyAlignment="1" applyProtection="1">
      <alignment horizontal="left" vertical="center" wrapText="1" shrinkToFit="1"/>
      <protection/>
    </xf>
    <xf numFmtId="0" fontId="6" fillId="0" borderId="20" xfId="0" applyFont="1" applyBorder="1" applyAlignment="1" applyProtection="1">
      <alignment horizontal="left" vertical="center" wrapText="1" shrinkToFit="1"/>
      <protection/>
    </xf>
    <xf numFmtId="0" fontId="6" fillId="0" borderId="15"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20" xfId="0" applyFont="1" applyFill="1" applyBorder="1" applyAlignment="1" applyProtection="1">
      <alignment shrinkToFit="1"/>
      <protection locked="0"/>
    </xf>
    <xf numFmtId="0" fontId="6" fillId="0" borderId="21" xfId="0" applyFont="1" applyFill="1" applyBorder="1" applyAlignment="1" applyProtection="1">
      <alignment shrinkToFit="1"/>
      <protection locked="0"/>
    </xf>
    <xf numFmtId="0" fontId="4" fillId="0" borderId="0" xfId="0" applyFont="1" applyBorder="1" applyAlignment="1" applyProtection="1">
      <alignment horizontal="left" vertical="center"/>
      <protection/>
    </xf>
    <xf numFmtId="0" fontId="6" fillId="0" borderId="12"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0" borderId="12" xfId="0" applyFont="1" applyBorder="1" applyAlignment="1" applyProtection="1">
      <alignment horizontal="left" vertical="center"/>
      <protection/>
    </xf>
    <xf numFmtId="0" fontId="6" fillId="0" borderId="40" xfId="0" applyFont="1" applyBorder="1" applyAlignment="1" applyProtection="1">
      <alignment horizontal="left" vertical="center"/>
      <protection/>
    </xf>
    <xf numFmtId="0" fontId="6" fillId="0" borderId="10" xfId="0" applyFont="1" applyFill="1" applyBorder="1" applyAlignment="1" applyProtection="1">
      <alignment horizontal="left" vertical="center" wrapText="1"/>
      <protection/>
    </xf>
    <xf numFmtId="0" fontId="6" fillId="0" borderId="12" xfId="0" applyFont="1" applyBorder="1" applyAlignment="1" applyProtection="1">
      <alignment horizontal="left" wrapText="1"/>
      <protection/>
    </xf>
    <xf numFmtId="0" fontId="6" fillId="0" borderId="48" xfId="0" applyFont="1" applyBorder="1" applyAlignment="1" applyProtection="1">
      <alignment horizontal="left" wrapText="1"/>
      <protection/>
    </xf>
    <xf numFmtId="0" fontId="6" fillId="0" borderId="48"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0" borderId="48"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shrinkToFit="1"/>
      <protection/>
    </xf>
    <xf numFmtId="0" fontId="6" fillId="0" borderId="13" xfId="0" applyFont="1" applyBorder="1" applyAlignment="1" applyProtection="1">
      <alignment horizontal="center" vertical="center" wrapText="1" shrinkToFit="1"/>
      <protection/>
    </xf>
    <xf numFmtId="0" fontId="6" fillId="0" borderId="14" xfId="0" applyFont="1" applyBorder="1" applyAlignment="1" applyProtection="1">
      <alignment horizontal="left" vertical="center"/>
      <protection/>
    </xf>
    <xf numFmtId="0" fontId="6" fillId="0" borderId="53" xfId="0" applyFont="1" applyBorder="1" applyAlignment="1" applyProtection="1">
      <alignment horizontal="left" vertical="center"/>
      <protection/>
    </xf>
    <xf numFmtId="0" fontId="6" fillId="0" borderId="10"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27" fillId="0" borderId="12" xfId="0" applyFont="1" applyBorder="1" applyAlignment="1" applyProtection="1">
      <alignment vertical="center" wrapText="1"/>
      <protection/>
    </xf>
    <xf numFmtId="0" fontId="27" fillId="0" borderId="48" xfId="0" applyFont="1" applyBorder="1" applyAlignment="1" applyProtection="1">
      <alignment vertical="center" wrapText="1"/>
      <protection/>
    </xf>
    <xf numFmtId="0" fontId="27" fillId="0" borderId="40" xfId="0" applyFont="1" applyBorder="1" applyAlignment="1" applyProtection="1">
      <alignment vertical="center" wrapText="1"/>
      <protection/>
    </xf>
    <xf numFmtId="0" fontId="71" fillId="37" borderId="59" xfId="0" applyFont="1" applyFill="1" applyBorder="1" applyAlignment="1" applyProtection="1">
      <alignment horizontal="center" vertical="center"/>
      <protection/>
    </xf>
    <xf numFmtId="0" fontId="71" fillId="37" borderId="60"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36" borderId="20" xfId="0" applyFont="1" applyFill="1" applyBorder="1" applyAlignment="1" applyProtection="1">
      <alignment horizontal="center" vertical="center"/>
      <protection locked="0"/>
    </xf>
    <xf numFmtId="0" fontId="6" fillId="0" borderId="12"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6" fillId="0" borderId="13" xfId="0" applyFont="1" applyBorder="1" applyAlignment="1" applyProtection="1">
      <alignment horizontal="center" vertical="center"/>
      <protection/>
    </xf>
    <xf numFmtId="0" fontId="6" fillId="0" borderId="48" xfId="0" applyFont="1" applyBorder="1" applyAlignment="1" applyProtection="1">
      <alignment vertical="center" wrapText="1"/>
      <protection/>
    </xf>
    <xf numFmtId="0" fontId="6" fillId="0" borderId="15"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15"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10" xfId="0" applyFont="1" applyBorder="1" applyAlignment="1" applyProtection="1">
      <alignment vertical="center"/>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xf>
    <xf numFmtId="0" fontId="6" fillId="0" borderId="12" xfId="0" applyFont="1" applyFill="1" applyBorder="1" applyAlignment="1" applyProtection="1">
      <alignment horizontal="left" vertical="center" wrapText="1"/>
      <protection/>
    </xf>
    <xf numFmtId="0" fontId="6" fillId="0" borderId="48"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wrapText="1"/>
      <protection/>
    </xf>
    <xf numFmtId="0" fontId="6" fillId="35" borderId="15" xfId="0" applyFont="1" applyFill="1" applyBorder="1" applyAlignment="1" applyProtection="1">
      <alignment horizontal="center" vertical="center" wrapText="1"/>
      <protection locked="0"/>
    </xf>
    <xf numFmtId="0" fontId="6" fillId="35" borderId="20" xfId="0" applyFont="1" applyFill="1" applyBorder="1" applyAlignment="1" applyProtection="1">
      <alignment horizontal="center" vertical="center" wrapText="1"/>
      <protection locked="0"/>
    </xf>
    <xf numFmtId="0" fontId="6" fillId="36" borderId="15" xfId="0" applyFont="1" applyFill="1" applyBorder="1" applyAlignment="1" applyProtection="1">
      <alignment horizontal="left" vertical="center"/>
      <protection locked="0"/>
    </xf>
    <xf numFmtId="0" fontId="6" fillId="36" borderId="13" xfId="0" applyFont="1" applyFill="1" applyBorder="1" applyAlignment="1" applyProtection="1">
      <alignment horizontal="left" vertical="center"/>
      <protection locked="0"/>
    </xf>
    <xf numFmtId="0" fontId="6" fillId="0" borderId="48" xfId="0" applyFont="1" applyBorder="1" applyAlignment="1" applyProtection="1">
      <alignment horizontal="left" vertical="center" wrapText="1"/>
      <protection/>
    </xf>
    <xf numFmtId="0" fontId="6" fillId="35" borderId="13" xfId="0" applyFont="1" applyFill="1" applyBorder="1" applyAlignment="1" applyProtection="1">
      <alignment horizontal="center" vertical="center" wrapText="1"/>
      <protection locked="0"/>
    </xf>
    <xf numFmtId="0" fontId="6" fillId="0" borderId="10" xfId="0" applyFont="1" applyBorder="1" applyAlignment="1" applyProtection="1">
      <alignment horizontal="left" vertical="center"/>
      <protection/>
    </xf>
    <xf numFmtId="0" fontId="6" fillId="36" borderId="20"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xf>
    <xf numFmtId="0" fontId="6" fillId="0" borderId="17" xfId="0" applyFont="1" applyBorder="1" applyAlignment="1" applyProtection="1">
      <alignment horizontal="left" vertical="top" wrapText="1"/>
      <protection/>
    </xf>
    <xf numFmtId="0" fontId="6" fillId="0" borderId="51" xfId="0" applyFont="1" applyBorder="1" applyAlignment="1" applyProtection="1">
      <alignment horizontal="left" vertical="top" wrapText="1"/>
      <protection/>
    </xf>
    <xf numFmtId="0" fontId="6" fillId="0" borderId="0" xfId="0" applyFont="1" applyAlignment="1">
      <alignment horizontal="right" vertical="center"/>
    </xf>
    <xf numFmtId="0" fontId="28" fillId="0" borderId="71" xfId="0" applyFont="1" applyBorder="1" applyAlignment="1">
      <alignment horizontal="left" vertical="center"/>
    </xf>
    <xf numFmtId="0" fontId="28" fillId="0" borderId="72" xfId="0" applyFont="1" applyBorder="1" applyAlignment="1">
      <alignment horizontal="left" vertical="center"/>
    </xf>
    <xf numFmtId="0" fontId="28" fillId="0" borderId="73" xfId="0" applyFont="1" applyBorder="1" applyAlignment="1">
      <alignment horizontal="left" vertical="center"/>
    </xf>
    <xf numFmtId="0" fontId="28" fillId="0" borderId="74" xfId="0" applyFont="1" applyBorder="1" applyAlignment="1">
      <alignment horizontal="left" vertical="center"/>
    </xf>
    <xf numFmtId="0" fontId="28" fillId="0" borderId="75" xfId="0" applyFont="1" applyBorder="1" applyAlignment="1">
      <alignment horizontal="left" vertical="center"/>
    </xf>
    <xf numFmtId="0" fontId="28" fillId="0" borderId="57" xfId="0" applyFont="1" applyBorder="1" applyAlignment="1">
      <alignment horizontal="left" vertical="center"/>
    </xf>
    <xf numFmtId="0" fontId="28" fillId="0" borderId="76" xfId="0" applyFont="1" applyBorder="1" applyAlignment="1">
      <alignment horizontal="left" vertical="center"/>
    </xf>
    <xf numFmtId="0" fontId="28" fillId="0" borderId="54" xfId="0" applyFont="1" applyBorder="1" applyAlignment="1">
      <alignment horizontal="left" vertical="center"/>
    </xf>
    <xf numFmtId="0" fontId="28" fillId="0" borderId="77" xfId="0" applyFont="1" applyBorder="1" applyAlignment="1">
      <alignment horizontal="center" vertical="center"/>
    </xf>
    <xf numFmtId="0" fontId="28" fillId="0" borderId="55" xfId="0" applyFont="1" applyBorder="1" applyAlignment="1">
      <alignment horizontal="center" vertical="center"/>
    </xf>
    <xf numFmtId="0" fontId="28" fillId="0" borderId="78" xfId="0" applyFont="1" applyBorder="1" applyAlignment="1">
      <alignment horizontal="center" vertical="center"/>
    </xf>
    <xf numFmtId="0" fontId="28" fillId="0" borderId="79" xfId="0" applyFont="1" applyBorder="1" applyAlignment="1">
      <alignment horizontal="center" vertical="center"/>
    </xf>
    <xf numFmtId="0" fontId="28" fillId="0" borderId="0" xfId="0" applyFont="1" applyAlignment="1">
      <alignment horizontal="left" vertical="center" wrapText="1"/>
    </xf>
    <xf numFmtId="0" fontId="29" fillId="0" borderId="0" xfId="0" applyFont="1" applyAlignment="1">
      <alignment horizontal="center" vertical="center"/>
    </xf>
    <xf numFmtId="0" fontId="28" fillId="0" borderId="79" xfId="0" applyFont="1" applyBorder="1" applyAlignment="1">
      <alignment horizontal="left" vertical="center" wrapText="1"/>
    </xf>
    <xf numFmtId="0" fontId="28" fillId="0" borderId="13" xfId="0" applyFont="1" applyBorder="1" applyAlignment="1">
      <alignment horizontal="left" vertical="center" wrapText="1"/>
    </xf>
    <xf numFmtId="0" fontId="28" fillId="0" borderId="80" xfId="0" applyFont="1" applyBorder="1" applyAlignment="1">
      <alignment horizontal="center" vertical="center"/>
    </xf>
    <xf numFmtId="0" fontId="28" fillId="0" borderId="8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2362200</xdr:colOff>
      <xdr:row>8</xdr:row>
      <xdr:rowOff>95250</xdr:rowOff>
    </xdr:from>
    <xdr:to>
      <xdr:col>6</xdr:col>
      <xdr:colOff>19050</xdr:colOff>
      <xdr:row>10</xdr:row>
      <xdr:rowOff>142875</xdr:rowOff>
    </xdr:to>
    <xdr:grpSp>
      <xdr:nvGrpSpPr>
        <xdr:cNvPr id="1" name="Group 1"/>
        <xdr:cNvGrpSpPr>
          <a:grpSpLocks/>
        </xdr:cNvGrpSpPr>
      </xdr:nvGrpSpPr>
      <xdr:grpSpPr>
        <a:xfrm>
          <a:off x="8286750" y="1362075"/>
          <a:ext cx="476250" cy="504825"/>
          <a:chOff x="776" y="151"/>
          <a:chExt cx="73" cy="80"/>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0" y="204"/>
            <a:ext cx="69" cy="27"/>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27</xdr:row>
      <xdr:rowOff>333375</xdr:rowOff>
    </xdr:from>
    <xdr:to>
      <xdr:col>5</xdr:col>
      <xdr:colOff>1676400</xdr:colOff>
      <xdr:row>30</xdr:row>
      <xdr:rowOff>104775</xdr:rowOff>
    </xdr:to>
    <xdr:sp>
      <xdr:nvSpPr>
        <xdr:cNvPr id="1" name="横巻き 1"/>
        <xdr:cNvSpPr>
          <a:spLocks/>
        </xdr:cNvSpPr>
      </xdr:nvSpPr>
      <xdr:spPr>
        <a:xfrm>
          <a:off x="504825" y="8839200"/>
          <a:ext cx="5781675" cy="857250"/>
        </a:xfrm>
        <a:prstGeom prst="horizontalScroll">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参加者向けのアナウンス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本書は、実務経験で主任技術者となった者についてその事実を証明していただくものです。よって、国家資格等で主任技術者となった者を配置する場合及び監理技術者を配置する場合は本書の添付は不要で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G59"/>
  <sheetViews>
    <sheetView tabSelected="1" zoomScale="70" zoomScaleNormal="70" zoomScalePageLayoutView="0" workbookViewId="0" topLeftCell="A1">
      <selection activeCell="I10" sqref="I10"/>
    </sheetView>
  </sheetViews>
  <sheetFormatPr defaultColWidth="9.00390625" defaultRowHeight="13.5"/>
  <cols>
    <col min="1" max="1" width="5.375" style="9" customWidth="1"/>
    <col min="2" max="2" width="13.50390625" style="9" customWidth="1"/>
    <col min="3" max="3" width="8.00390625" style="9" customWidth="1"/>
    <col min="4" max="4" width="17.875" style="9" customWidth="1"/>
    <col min="5" max="5" width="36.75390625" style="9" customWidth="1"/>
    <col min="6" max="6" width="35.25390625" style="9" customWidth="1"/>
    <col min="7" max="7" width="10.00390625" style="9" customWidth="1"/>
    <col min="8" max="16384" width="9.00390625" style="9" customWidth="1"/>
  </cols>
  <sheetData>
    <row r="1" ht="9" customHeight="1"/>
    <row r="2" spans="2:3" ht="17.25">
      <c r="B2" s="10" t="s">
        <v>18</v>
      </c>
      <c r="C2" s="10"/>
    </row>
    <row r="3" spans="2:3" ht="13.5">
      <c r="B3" s="11" t="s">
        <v>39</v>
      </c>
      <c r="C3" s="11"/>
    </row>
    <row r="4" spans="2:3" ht="13.5">
      <c r="B4" s="11" t="s">
        <v>41</v>
      </c>
      <c r="C4" s="11"/>
    </row>
    <row r="5" spans="2:6" ht="27" customHeight="1" thickBot="1">
      <c r="B5" s="12" t="s">
        <v>1</v>
      </c>
      <c r="C5" s="12"/>
      <c r="D5" s="12" t="s">
        <v>17</v>
      </c>
      <c r="E5" s="13" t="s">
        <v>273</v>
      </c>
      <c r="F5" s="14" t="s">
        <v>22</v>
      </c>
    </row>
    <row r="6" spans="2:6" ht="37.5" customHeight="1" thickTop="1">
      <c r="B6" s="230" t="s">
        <v>16</v>
      </c>
      <c r="C6" s="15"/>
      <c r="D6" s="16" t="s">
        <v>20</v>
      </c>
      <c r="E6" s="46" t="s">
        <v>34</v>
      </c>
      <c r="F6" s="17" t="s">
        <v>23</v>
      </c>
    </row>
    <row r="7" spans="2:7" ht="37.5" customHeight="1">
      <c r="B7" s="231"/>
      <c r="C7" s="18"/>
      <c r="D7" s="19" t="s">
        <v>14</v>
      </c>
      <c r="E7" s="47" t="s">
        <v>36</v>
      </c>
      <c r="F7" s="17" t="s">
        <v>27</v>
      </c>
      <c r="G7" s="229" t="s">
        <v>28</v>
      </c>
    </row>
    <row r="8" spans="2:7" ht="37.5" customHeight="1">
      <c r="B8" s="232"/>
      <c r="C8" s="20"/>
      <c r="D8" s="19" t="s">
        <v>15</v>
      </c>
      <c r="E8" s="48">
        <v>12345</v>
      </c>
      <c r="F8" s="17" t="s">
        <v>40</v>
      </c>
      <c r="G8" s="229"/>
    </row>
    <row r="9" spans="2:7" ht="37.5" customHeight="1">
      <c r="B9" s="230" t="s">
        <v>12</v>
      </c>
      <c r="C9" s="15"/>
      <c r="D9" s="19" t="s">
        <v>10</v>
      </c>
      <c r="E9" s="47" t="s">
        <v>35</v>
      </c>
      <c r="F9" s="21" t="s">
        <v>24</v>
      </c>
      <c r="G9" s="229"/>
    </row>
    <row r="10" spans="2:7" ht="37.5" customHeight="1">
      <c r="B10" s="231"/>
      <c r="C10" s="18"/>
      <c r="D10" s="19" t="s">
        <v>8</v>
      </c>
      <c r="E10" s="47" t="s">
        <v>30</v>
      </c>
      <c r="F10" s="17" t="s">
        <v>25</v>
      </c>
      <c r="G10" s="229"/>
    </row>
    <row r="11" spans="2:6" ht="37.5" customHeight="1">
      <c r="B11" s="231"/>
      <c r="C11" s="18"/>
      <c r="D11" s="19" t="s">
        <v>21</v>
      </c>
      <c r="E11" s="47" t="s">
        <v>95</v>
      </c>
      <c r="F11" s="17" t="s">
        <v>29</v>
      </c>
    </row>
    <row r="12" spans="2:6" ht="37.5" customHeight="1">
      <c r="B12" s="231"/>
      <c r="C12" s="18"/>
      <c r="D12" s="19" t="s">
        <v>96</v>
      </c>
      <c r="E12" s="48">
        <v>56789</v>
      </c>
      <c r="F12" s="17" t="s">
        <v>29</v>
      </c>
    </row>
    <row r="13" spans="2:6" ht="37.5" customHeight="1">
      <c r="B13" s="231"/>
      <c r="C13" s="18"/>
      <c r="D13" s="19" t="s">
        <v>19</v>
      </c>
      <c r="E13" s="47" t="s">
        <v>31</v>
      </c>
      <c r="F13" s="233" t="s">
        <v>26</v>
      </c>
    </row>
    <row r="14" spans="2:6" ht="37.5" customHeight="1">
      <c r="B14" s="231"/>
      <c r="C14" s="18"/>
      <c r="D14" s="19" t="s">
        <v>6</v>
      </c>
      <c r="E14" s="47" t="s">
        <v>32</v>
      </c>
      <c r="F14" s="234"/>
    </row>
    <row r="15" spans="2:6" ht="37.5" customHeight="1" thickBot="1">
      <c r="B15" s="232"/>
      <c r="C15" s="20"/>
      <c r="D15" s="19" t="s">
        <v>7</v>
      </c>
      <c r="E15" s="49" t="s">
        <v>33</v>
      </c>
      <c r="F15" s="235"/>
    </row>
    <row r="16" ht="37.5" customHeight="1" thickTop="1"/>
    <row r="17" spans="2:3" ht="17.25">
      <c r="B17" s="10" t="s">
        <v>42</v>
      </c>
      <c r="C17" s="10"/>
    </row>
    <row r="18" spans="2:6" ht="18" customHeight="1" thickBot="1">
      <c r="B18" s="247" t="s">
        <v>17</v>
      </c>
      <c r="C18" s="247"/>
      <c r="D18" s="247"/>
      <c r="E18" s="22" t="s">
        <v>274</v>
      </c>
      <c r="F18" s="23" t="s">
        <v>22</v>
      </c>
    </row>
    <row r="19" spans="2:6" ht="37.5" customHeight="1" thickTop="1">
      <c r="B19" s="225" t="s">
        <v>16</v>
      </c>
      <c r="C19" s="226"/>
      <c r="D19" s="25" t="s">
        <v>2</v>
      </c>
      <c r="E19" s="26" t="s">
        <v>341</v>
      </c>
      <c r="F19" s="27"/>
    </row>
    <row r="20" spans="2:6" ht="23.25" customHeight="1">
      <c r="B20" s="227"/>
      <c r="C20" s="228"/>
      <c r="D20" s="236" t="s">
        <v>102</v>
      </c>
      <c r="E20" s="87" t="s">
        <v>342</v>
      </c>
      <c r="F20" s="88" t="s">
        <v>103</v>
      </c>
    </row>
    <row r="21" spans="2:6" ht="21.75" customHeight="1">
      <c r="B21" s="227"/>
      <c r="C21" s="228"/>
      <c r="D21" s="237"/>
      <c r="E21" s="89" t="s">
        <v>343</v>
      </c>
      <c r="F21" s="90" t="s">
        <v>104</v>
      </c>
    </row>
    <row r="22" spans="2:6" ht="21.75" customHeight="1">
      <c r="B22" s="227"/>
      <c r="C22" s="228"/>
      <c r="D22" s="237"/>
      <c r="E22" s="91" t="s">
        <v>344</v>
      </c>
      <c r="F22" s="92" t="s">
        <v>105</v>
      </c>
    </row>
    <row r="23" spans="2:6" ht="21.75" customHeight="1">
      <c r="B23" s="227"/>
      <c r="C23" s="228"/>
      <c r="D23" s="238"/>
      <c r="E23" s="93" t="s">
        <v>345</v>
      </c>
      <c r="F23" s="94" t="s">
        <v>106</v>
      </c>
    </row>
    <row r="24" spans="2:6" ht="37.5" customHeight="1">
      <c r="B24" s="227"/>
      <c r="C24" s="228"/>
      <c r="D24" s="28" t="s">
        <v>56</v>
      </c>
      <c r="E24" s="81">
        <v>42307</v>
      </c>
      <c r="F24" s="84" t="s">
        <v>278</v>
      </c>
    </row>
    <row r="25" spans="2:6" ht="37.5" customHeight="1">
      <c r="B25" s="227"/>
      <c r="C25" s="228"/>
      <c r="D25" s="29" t="s">
        <v>57</v>
      </c>
      <c r="E25" s="81">
        <v>42313</v>
      </c>
      <c r="F25" s="84" t="s">
        <v>278</v>
      </c>
    </row>
    <row r="26" spans="2:6" ht="37.5" customHeight="1">
      <c r="B26" s="227"/>
      <c r="C26" s="228"/>
      <c r="D26" s="29" t="s">
        <v>81</v>
      </c>
      <c r="E26" s="81">
        <v>42320</v>
      </c>
      <c r="F26" s="84" t="s">
        <v>278</v>
      </c>
    </row>
    <row r="27" spans="2:6" ht="37.5" customHeight="1">
      <c r="B27" s="227"/>
      <c r="C27" s="228"/>
      <c r="D27" s="29" t="s">
        <v>82</v>
      </c>
      <c r="E27" s="81">
        <v>42324</v>
      </c>
      <c r="F27" s="84" t="s">
        <v>278</v>
      </c>
    </row>
    <row r="28" spans="2:6" ht="37.5" customHeight="1">
      <c r="B28" s="227"/>
      <c r="C28" s="228"/>
      <c r="D28" s="29" t="s">
        <v>276</v>
      </c>
      <c r="E28" s="81">
        <v>42334</v>
      </c>
      <c r="F28" s="84" t="s">
        <v>278</v>
      </c>
    </row>
    <row r="29" spans="2:6" ht="37.5" customHeight="1" thickBot="1">
      <c r="B29" s="227"/>
      <c r="C29" s="228"/>
      <c r="D29" s="29" t="s">
        <v>83</v>
      </c>
      <c r="E29" s="82">
        <v>42347</v>
      </c>
      <c r="F29" s="84" t="s">
        <v>278</v>
      </c>
    </row>
    <row r="30" spans="1:6" s="32" customFormat="1" ht="45" customHeight="1" thickTop="1">
      <c r="A30" s="9"/>
      <c r="B30" s="30"/>
      <c r="C30" s="30"/>
      <c r="D30" s="30"/>
      <c r="E30" s="31"/>
      <c r="F30" s="80"/>
    </row>
    <row r="31" spans="2:6" ht="37.5" customHeight="1" thickBot="1">
      <c r="B31" s="33" t="s">
        <v>1</v>
      </c>
      <c r="C31" s="24" t="s">
        <v>71</v>
      </c>
      <c r="D31" s="34" t="s">
        <v>17</v>
      </c>
      <c r="E31" s="35" t="s">
        <v>274</v>
      </c>
      <c r="F31" s="33" t="s">
        <v>22</v>
      </c>
    </row>
    <row r="32" spans="2:6" ht="37.5" customHeight="1" thickTop="1">
      <c r="B32" s="29" t="s">
        <v>61</v>
      </c>
      <c r="C32" s="55" t="s">
        <v>323</v>
      </c>
      <c r="D32" s="50" t="s">
        <v>267</v>
      </c>
      <c r="E32" s="37" t="s">
        <v>94</v>
      </c>
      <c r="F32" s="36" t="s">
        <v>107</v>
      </c>
    </row>
    <row r="33" spans="2:7" ht="37.5" customHeight="1">
      <c r="B33" s="29" t="s">
        <v>62</v>
      </c>
      <c r="C33" s="56" t="s">
        <v>246</v>
      </c>
      <c r="D33" s="50" t="s">
        <v>76</v>
      </c>
      <c r="E33" s="37" t="s">
        <v>340</v>
      </c>
      <c r="F33" s="36" t="s">
        <v>108</v>
      </c>
      <c r="G33" s="38"/>
    </row>
    <row r="34" spans="2:7" ht="37.5" customHeight="1">
      <c r="B34" s="29" t="s">
        <v>63</v>
      </c>
      <c r="C34" s="56" t="s">
        <v>246</v>
      </c>
      <c r="D34" s="51" t="s">
        <v>117</v>
      </c>
      <c r="E34" s="39" t="s">
        <v>275</v>
      </c>
      <c r="F34" s="36" t="s">
        <v>109</v>
      </c>
      <c r="G34" s="38"/>
    </row>
    <row r="35" spans="2:7" ht="37.5" customHeight="1">
      <c r="B35" s="29" t="s">
        <v>64</v>
      </c>
      <c r="C35" s="56" t="s">
        <v>323</v>
      </c>
      <c r="D35" s="50" t="s">
        <v>266</v>
      </c>
      <c r="E35" s="37" t="s">
        <v>72</v>
      </c>
      <c r="F35" s="36" t="s">
        <v>107</v>
      </c>
      <c r="G35" s="38"/>
    </row>
    <row r="36" spans="2:7" ht="37.5" customHeight="1">
      <c r="B36" s="29" t="s">
        <v>65</v>
      </c>
      <c r="C36" s="56" t="s">
        <v>323</v>
      </c>
      <c r="D36" s="50" t="s">
        <v>268</v>
      </c>
      <c r="E36" s="40"/>
      <c r="F36" s="41"/>
      <c r="G36" s="38"/>
    </row>
    <row r="37" spans="2:7" ht="37.5" customHeight="1">
      <c r="B37" s="29" t="s">
        <v>66</v>
      </c>
      <c r="C37" s="56" t="s">
        <v>246</v>
      </c>
      <c r="D37" s="52" t="s">
        <v>118</v>
      </c>
      <c r="E37" s="39" t="s">
        <v>275</v>
      </c>
      <c r="F37" s="36" t="s">
        <v>109</v>
      </c>
      <c r="G37" s="38"/>
    </row>
    <row r="38" spans="2:6" ht="36" customHeight="1">
      <c r="B38" s="29" t="s">
        <v>67</v>
      </c>
      <c r="C38" s="56" t="s">
        <v>323</v>
      </c>
      <c r="D38" s="106" t="s">
        <v>234</v>
      </c>
      <c r="E38" s="107"/>
      <c r="F38" s="44"/>
    </row>
    <row r="39" spans="2:7" ht="37.5" customHeight="1">
      <c r="B39" s="29" t="s">
        <v>68</v>
      </c>
      <c r="C39" s="56" t="s">
        <v>246</v>
      </c>
      <c r="D39" s="53" t="s">
        <v>59</v>
      </c>
      <c r="E39" s="40"/>
      <c r="F39" s="41"/>
      <c r="G39" s="42"/>
    </row>
    <row r="40" spans="2:6" ht="37.5" customHeight="1">
      <c r="B40" s="29" t="s">
        <v>69</v>
      </c>
      <c r="C40" s="56" t="s">
        <v>246</v>
      </c>
      <c r="D40" s="51" t="s">
        <v>245</v>
      </c>
      <c r="E40" s="43" t="s">
        <v>346</v>
      </c>
      <c r="F40" s="44" t="s">
        <v>110</v>
      </c>
    </row>
    <row r="41" spans="2:6" ht="37.5" customHeight="1">
      <c r="B41" s="29" t="s">
        <v>70</v>
      </c>
      <c r="C41" s="56" t="s">
        <v>246</v>
      </c>
      <c r="D41" s="155" t="s">
        <v>250</v>
      </c>
      <c r="E41" s="45"/>
      <c r="F41" s="156" t="s">
        <v>249</v>
      </c>
    </row>
    <row r="42" spans="2:6" ht="36.75" customHeight="1">
      <c r="B42" s="29" t="s">
        <v>123</v>
      </c>
      <c r="C42" s="56" t="s">
        <v>246</v>
      </c>
      <c r="D42" s="99" t="s">
        <v>235</v>
      </c>
      <c r="E42" s="45"/>
      <c r="F42" s="44"/>
    </row>
    <row r="43" spans="2:6" ht="36.75" customHeight="1">
      <c r="B43" s="29" t="s">
        <v>125</v>
      </c>
      <c r="C43" s="56" t="s">
        <v>323</v>
      </c>
      <c r="D43" s="54" t="s">
        <v>58</v>
      </c>
      <c r="E43" s="109"/>
      <c r="F43" s="44"/>
    </row>
    <row r="44" spans="2:6" ht="36" customHeight="1">
      <c r="B44" s="239" t="s">
        <v>126</v>
      </c>
      <c r="C44" s="241" t="s">
        <v>323</v>
      </c>
      <c r="D44" s="243" t="s">
        <v>272</v>
      </c>
      <c r="E44" s="105">
        <v>75</v>
      </c>
      <c r="F44" s="245" t="s">
        <v>124</v>
      </c>
    </row>
    <row r="45" spans="2:6" ht="36" customHeight="1">
      <c r="B45" s="240"/>
      <c r="C45" s="242"/>
      <c r="D45" s="244"/>
      <c r="E45" s="105">
        <v>50</v>
      </c>
      <c r="F45" s="246"/>
    </row>
    <row r="46" spans="2:6" ht="36" customHeight="1">
      <c r="B46" s="29" t="s">
        <v>233</v>
      </c>
      <c r="C46" s="56" t="s">
        <v>246</v>
      </c>
      <c r="D46" s="106" t="s">
        <v>269</v>
      </c>
      <c r="E46" s="107"/>
      <c r="F46" s="44"/>
    </row>
    <row r="47" spans="2:6" ht="36" customHeight="1">
      <c r="B47" s="29" t="s">
        <v>271</v>
      </c>
      <c r="C47" s="56" t="s">
        <v>246</v>
      </c>
      <c r="D47" s="157" t="s">
        <v>270</v>
      </c>
      <c r="E47" s="107"/>
      <c r="F47" s="44"/>
    </row>
    <row r="48" spans="2:6" ht="30.75" customHeight="1">
      <c r="B48" s="29"/>
      <c r="C48" s="56" t="s">
        <v>323</v>
      </c>
      <c r="D48" s="152" t="s">
        <v>265</v>
      </c>
      <c r="E48" s="107"/>
      <c r="F48" s="36" t="s">
        <v>230</v>
      </c>
    </row>
    <row r="49" spans="2:6" ht="32.25" customHeight="1">
      <c r="B49" s="29"/>
      <c r="C49" s="56" t="s">
        <v>323</v>
      </c>
      <c r="D49" s="152" t="s">
        <v>242</v>
      </c>
      <c r="E49" s="107"/>
      <c r="F49" s="36" t="s">
        <v>230</v>
      </c>
    </row>
    <row r="50" spans="2:6" ht="36" customHeight="1" thickBot="1">
      <c r="B50" s="29"/>
      <c r="C50" s="154" t="s">
        <v>246</v>
      </c>
      <c r="D50" s="106" t="s">
        <v>226</v>
      </c>
      <c r="E50" s="108"/>
      <c r="F50" s="36" t="s">
        <v>227</v>
      </c>
    </row>
    <row r="51" spans="2:6" ht="35.25" customHeight="1" thickTop="1">
      <c r="B51" s="175"/>
      <c r="C51" s="175"/>
      <c r="D51" s="175"/>
      <c r="E51" s="175"/>
      <c r="F51" s="175"/>
    </row>
    <row r="52" spans="2:5" ht="13.5">
      <c r="B52" s="178"/>
      <c r="C52" s="179"/>
      <c r="D52" s="164" t="s">
        <v>277</v>
      </c>
      <c r="E52" s="180"/>
    </row>
    <row r="53" spans="2:6" ht="13.5">
      <c r="B53" s="178"/>
      <c r="C53" s="179"/>
      <c r="D53" s="164" t="s">
        <v>297</v>
      </c>
      <c r="E53" s="180">
        <f>EOMONTH(E28,-3-24)+1</f>
        <v>41518</v>
      </c>
      <c r="F53" s="9" t="s">
        <v>298</v>
      </c>
    </row>
    <row r="54" spans="2:5" ht="13.5">
      <c r="B54" s="177"/>
      <c r="C54" s="161"/>
      <c r="D54" s="158" t="s">
        <v>294</v>
      </c>
      <c r="E54" s="176">
        <f>YEAR(E53)-1988</f>
        <v>25</v>
      </c>
    </row>
    <row r="55" spans="2:5" ht="13.5">
      <c r="B55" s="177"/>
      <c r="C55" s="160"/>
      <c r="D55" s="165" t="s">
        <v>295</v>
      </c>
      <c r="E55" s="162">
        <f>MONTH(E53)</f>
        <v>9</v>
      </c>
    </row>
    <row r="56" spans="2:6" ht="13.5">
      <c r="B56" s="177"/>
      <c r="C56" s="160"/>
      <c r="D56" s="158" t="s">
        <v>293</v>
      </c>
      <c r="E56" s="181">
        <f>EOMONTH(E28,-3)</f>
        <v>42247</v>
      </c>
      <c r="F56" s="9" t="s">
        <v>296</v>
      </c>
    </row>
    <row r="57" spans="2:5" ht="13.5">
      <c r="B57" s="160"/>
      <c r="C57" s="160"/>
      <c r="D57" s="159" t="s">
        <v>294</v>
      </c>
      <c r="E57" s="176">
        <f>YEAR(E56)-1988</f>
        <v>27</v>
      </c>
    </row>
    <row r="58" spans="2:5" ht="13.5">
      <c r="B58" s="177"/>
      <c r="C58" s="160"/>
      <c r="D58" s="158" t="s">
        <v>295</v>
      </c>
      <c r="E58" s="176">
        <f>MONTH(E56)</f>
        <v>8</v>
      </c>
    </row>
    <row r="59" spans="2:5" ht="13.5">
      <c r="B59" s="160"/>
      <c r="C59" s="160"/>
      <c r="D59" s="163" t="s">
        <v>299</v>
      </c>
      <c r="E59" s="162">
        <f>DAY(E56)</f>
        <v>31</v>
      </c>
    </row>
  </sheetData>
  <sheetProtection password="E7B6" sheet="1"/>
  <mergeCells count="11">
    <mergeCell ref="B44:B45"/>
    <mergeCell ref="C44:C45"/>
    <mergeCell ref="D44:D45"/>
    <mergeCell ref="F44:F45"/>
    <mergeCell ref="B18:D18"/>
    <mergeCell ref="B19:C29"/>
    <mergeCell ref="G7:G10"/>
    <mergeCell ref="B6:B8"/>
    <mergeCell ref="B9:B15"/>
    <mergeCell ref="F13:F15"/>
    <mergeCell ref="D20:D23"/>
  </mergeCells>
  <conditionalFormatting sqref="C32:C50">
    <cfRule type="cellIs" priority="1" dxfId="1" operator="equal" stopIfTrue="1">
      <formula>"適用"</formula>
    </cfRule>
  </conditionalFormatting>
  <dataValidations count="5">
    <dataValidation type="list" allowBlank="1" showInputMessage="1" showErrorMessage="1" sqref="E37 E34">
      <formula1>"土木（土木・造園）,建築,設備"</formula1>
    </dataValidation>
    <dataValidation type="list" allowBlank="1" showInputMessage="1" showErrorMessage="1" sqref="E3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6"/>
    <dataValidation type="list" allowBlank="1" showInputMessage="1" showErrorMessage="1" sqref="C32:C50">
      <formula1>"適用,不適用"</formula1>
    </dataValidation>
    <dataValidation allowBlank="1" showInputMessage="1" showErrorMessage="1" imeMode="halfAlpha" sqref="E14:E15"/>
  </dataValidations>
  <printOptions horizontalCentered="1"/>
  <pageMargins left="0.5905511811023623" right="0.5905511811023623" top="0.984251968503937" bottom="0.73" header="0.5118110236220472" footer="0.5118110236220472"/>
  <pageSetup fitToHeight="1" fitToWidth="1" horizontalDpi="600" verticalDpi="600" orientation="portrait" paperSize="9" scale="44"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9"/>
  <sheetViews>
    <sheetView zoomScale="85" zoomScaleNormal="85" zoomScalePageLayoutView="0" workbookViewId="0" topLeftCell="A1">
      <selection activeCell="B13" sqref="B13"/>
    </sheetView>
  </sheetViews>
  <sheetFormatPr defaultColWidth="9.00390625" defaultRowHeight="13.5"/>
  <cols>
    <col min="2" max="2" width="5.25390625" style="0" customWidth="1"/>
    <col min="3" max="3" width="6.25390625" style="0" customWidth="1"/>
    <col min="4" max="4" width="62.625" style="0" customWidth="1"/>
  </cols>
  <sheetData>
    <row r="1" ht="63.75" customHeight="1"/>
    <row r="2" spans="2:4" ht="28.5">
      <c r="B2" s="248" t="s">
        <v>88</v>
      </c>
      <c r="C2" s="248"/>
      <c r="D2" s="248"/>
    </row>
    <row r="3" spans="2:4" ht="7.5" customHeight="1">
      <c r="B3" s="57"/>
      <c r="C3" s="57"/>
      <c r="D3" s="57"/>
    </row>
    <row r="4" spans="2:4" ht="28.5">
      <c r="B4" s="248" t="s">
        <v>89</v>
      </c>
      <c r="C4" s="248"/>
      <c r="D4" s="248"/>
    </row>
    <row r="5" spans="2:4" ht="16.5" customHeight="1">
      <c r="B5" s="57"/>
      <c r="C5" s="57"/>
      <c r="D5" s="57"/>
    </row>
    <row r="6" spans="2:4" ht="30.75" customHeight="1">
      <c r="B6" s="251" t="str">
        <f>IF(OR('入力シート'!C46="適用",'入力シート'!C47="適用"),"『地域貢献評価型』","")</f>
        <v>『地域貢献評価型』</v>
      </c>
      <c r="C6" s="251"/>
      <c r="D6" s="251"/>
    </row>
    <row r="7" spans="2:4" ht="22.5" customHeight="1">
      <c r="B7" s="251" t="str">
        <f>IF(AND('入力シート'!C41="適用",'入力シート'!C42="適用"),"『災害活動評価型』","")</f>
        <v>『災害活動評価型』</v>
      </c>
      <c r="C7" s="251"/>
      <c r="D7" s="251"/>
    </row>
    <row r="8" spans="2:4" ht="25.5" customHeight="1">
      <c r="B8" s="251">
        <f>IF('入力シート'!C44="適用","『市内企業活用評価型』","")</f>
      </c>
      <c r="C8" s="251"/>
      <c r="D8" s="251"/>
    </row>
    <row r="9" spans="2:4" ht="25.5" customHeight="1">
      <c r="B9" s="251">
        <f>IF('入力シート'!C38="適用","『若手技術者活用評価型』","")</f>
      </c>
      <c r="C9" s="251"/>
      <c r="D9" s="251"/>
    </row>
    <row r="10" spans="2:4" ht="25.5" customHeight="1">
      <c r="B10" s="251" t="str">
        <f>IF('入力シート'!C50="適用","『低入札対策試行対象』","")</f>
        <v>『低入札対策試行対象』</v>
      </c>
      <c r="C10" s="251"/>
      <c r="D10" s="251"/>
    </row>
    <row r="11" spans="2:4" ht="17.25" customHeight="1">
      <c r="B11" s="58"/>
      <c r="C11" s="58"/>
      <c r="D11" s="58"/>
    </row>
    <row r="12" spans="2:4" ht="73.5" customHeight="1">
      <c r="B12" s="59" t="s">
        <v>2</v>
      </c>
      <c r="C12" s="59"/>
      <c r="D12" s="60" t="str">
        <f>'入力シート'!E19</f>
        <v>鶴見土木管内舗装補修（応急修理・雪害対策）工事（その６）</v>
      </c>
    </row>
    <row r="13" spans="2:4" ht="189.75" customHeight="1">
      <c r="B13" s="58"/>
      <c r="C13" s="58"/>
      <c r="D13" s="58"/>
    </row>
    <row r="14" spans="2:4" ht="28.5">
      <c r="B14" s="248" t="s">
        <v>90</v>
      </c>
      <c r="C14" s="248"/>
      <c r="D14" s="248"/>
    </row>
    <row r="15" spans="2:4" ht="13.5">
      <c r="B15" s="249" t="s">
        <v>339</v>
      </c>
      <c r="C15" s="249"/>
      <c r="D15" s="249"/>
    </row>
    <row r="16" spans="2:4" ht="18" customHeight="1">
      <c r="B16" s="58"/>
      <c r="C16" s="58"/>
      <c r="D16" s="58"/>
    </row>
    <row r="17" spans="2:5" ht="13.5">
      <c r="B17" s="95" t="s">
        <v>113</v>
      </c>
      <c r="C17" s="95"/>
      <c r="D17" s="95"/>
      <c r="E17" s="95"/>
    </row>
    <row r="18" spans="2:4" ht="13.5">
      <c r="B18" s="95"/>
      <c r="C18" s="95" t="str">
        <f>'入力シート'!E20</f>
        <v>鶴見区鶴見土木事務所</v>
      </c>
      <c r="D18" s="95"/>
    </row>
    <row r="19" spans="2:4" ht="13.5">
      <c r="B19" s="95"/>
      <c r="C19" s="95" t="str">
        <f>'入力シート'!E21</f>
        <v>横浜市鶴見区鶴見中央３－２８－１</v>
      </c>
      <c r="D19" s="95"/>
    </row>
    <row r="20" spans="2:4" ht="13.5">
      <c r="B20" s="95"/>
      <c r="C20" s="95" t="str">
        <f>"ＴＥＬ　　"&amp;'入力シート'!E22&amp;"　　　　　　　　　ＦＡＸ　　"&amp;'入力シート'!E23</f>
        <v>ＴＥＬ　　510-1669　　　　　　　　　ＦＡＸ　　505-1318</v>
      </c>
      <c r="D20" s="95"/>
    </row>
    <row r="22" spans="2:5" ht="13.5">
      <c r="B22" s="95" t="s">
        <v>111</v>
      </c>
      <c r="C22" s="95"/>
      <c r="D22" s="95"/>
      <c r="E22" s="95"/>
    </row>
    <row r="23" spans="2:5" ht="6" customHeight="1">
      <c r="B23" s="95"/>
      <c r="C23" s="95"/>
      <c r="D23" s="95"/>
      <c r="E23" s="95"/>
    </row>
    <row r="24" spans="2:4" ht="13.5">
      <c r="B24" s="95"/>
      <c r="C24" s="250">
        <f>'入力シート'!E24</f>
        <v>42307</v>
      </c>
      <c r="D24" s="250"/>
    </row>
    <row r="25" spans="2:5" ht="5.25" customHeight="1">
      <c r="B25" s="95"/>
      <c r="C25" s="95"/>
      <c r="D25" s="96"/>
      <c r="E25" s="96"/>
    </row>
    <row r="26" spans="2:5" ht="13.5">
      <c r="B26" s="95" t="s">
        <v>112</v>
      </c>
      <c r="C26" s="95"/>
      <c r="D26" s="95"/>
      <c r="E26" s="95"/>
    </row>
    <row r="27" spans="2:5" ht="13.5">
      <c r="B27" s="95"/>
      <c r="C27" s="95"/>
      <c r="D27" s="95"/>
      <c r="E27" s="95"/>
    </row>
    <row r="28" spans="2:4" ht="13.5">
      <c r="B28" s="100"/>
      <c r="C28" s="100"/>
      <c r="D28" s="100"/>
    </row>
    <row r="29" spans="2:4" ht="13.5">
      <c r="B29" s="100"/>
      <c r="C29" s="100"/>
      <c r="D29" s="100"/>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K152"/>
  <sheetViews>
    <sheetView zoomScale="115" zoomScaleNormal="115" zoomScalePageLayoutView="0" workbookViewId="0" topLeftCell="A1">
      <selection activeCell="A1" sqref="A1"/>
    </sheetView>
  </sheetViews>
  <sheetFormatPr defaultColWidth="9.00390625" defaultRowHeight="13.5"/>
  <cols>
    <col min="1" max="1" width="2.875" style="95" customWidth="1"/>
    <col min="2" max="2" width="3.50390625" style="95" customWidth="1"/>
    <col min="3" max="3" width="2.625" style="95" customWidth="1"/>
    <col min="4" max="4" width="5.00390625" style="95" customWidth="1"/>
    <col min="5" max="5" width="6.375" style="95" customWidth="1"/>
    <col min="6" max="6" width="27.75390625" style="110" customWidth="1"/>
    <col min="7" max="7" width="19.625" style="110" customWidth="1"/>
    <col min="8" max="8" width="20.875" style="110" customWidth="1"/>
    <col min="9" max="9" width="11.125" style="110" customWidth="1"/>
    <col min="10" max="10" width="4.75390625" style="95" customWidth="1"/>
    <col min="11" max="16384" width="9.00390625" style="95" customWidth="1"/>
  </cols>
  <sheetData>
    <row r="1" ht="14.25" customHeight="1">
      <c r="A1" s="95" t="s">
        <v>241</v>
      </c>
    </row>
    <row r="2" ht="14.25" customHeight="1"/>
    <row r="3" spans="1:10" ht="14.25" customHeight="1">
      <c r="A3" s="252" t="s">
        <v>127</v>
      </c>
      <c r="B3" s="252"/>
      <c r="C3" s="252"/>
      <c r="D3" s="252"/>
      <c r="E3" s="252"/>
      <c r="F3" s="252"/>
      <c r="G3" s="252"/>
      <c r="H3" s="252"/>
      <c r="I3" s="252"/>
      <c r="J3" s="252"/>
    </row>
    <row r="4" spans="1:10" ht="14.25" customHeight="1">
      <c r="A4" s="97"/>
      <c r="B4" s="111" t="s">
        <v>128</v>
      </c>
      <c r="C4" s="253" t="s">
        <v>252</v>
      </c>
      <c r="D4" s="253"/>
      <c r="E4" s="253"/>
      <c r="F4" s="254" t="str">
        <f>'入力シート'!E19</f>
        <v>鶴見土木管内舗装補修（応急修理・雪害対策）工事（その６）</v>
      </c>
      <c r="G4" s="254"/>
      <c r="H4" s="254"/>
      <c r="I4" s="254"/>
      <c r="J4" s="254"/>
    </row>
    <row r="5" spans="1:10" ht="14.25" customHeight="1">
      <c r="A5" s="97"/>
      <c r="B5" s="111" t="s">
        <v>129</v>
      </c>
      <c r="C5" s="253" t="s">
        <v>253</v>
      </c>
      <c r="D5" s="253"/>
      <c r="E5" s="253"/>
      <c r="F5" s="253"/>
      <c r="G5" s="253"/>
      <c r="H5" s="253"/>
      <c r="I5" s="253"/>
      <c r="J5" s="253"/>
    </row>
    <row r="6" spans="1:10" ht="14.25" customHeight="1">
      <c r="A6" s="97"/>
      <c r="B6" s="97"/>
      <c r="C6" s="253" t="s">
        <v>248</v>
      </c>
      <c r="D6" s="253"/>
      <c r="E6" s="253"/>
      <c r="F6" s="253"/>
      <c r="G6" s="253"/>
      <c r="H6" s="253"/>
      <c r="I6" s="253"/>
      <c r="J6" s="253"/>
    </row>
    <row r="7" spans="1:10" ht="14.25" customHeight="1">
      <c r="A7" s="97"/>
      <c r="B7" s="97"/>
      <c r="C7" s="253"/>
      <c r="D7" s="253"/>
      <c r="E7" s="253"/>
      <c r="F7" s="253"/>
      <c r="G7" s="253"/>
      <c r="H7" s="253"/>
      <c r="I7" s="253"/>
      <c r="J7" s="253"/>
    </row>
    <row r="8" spans="1:10" ht="14.25" customHeight="1">
      <c r="A8" s="97"/>
      <c r="B8" s="253"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本工事は『地域貢献評価型』『災害活動評価型』を適用します。</v>
      </c>
      <c r="C8" s="253"/>
      <c r="D8" s="253"/>
      <c r="E8" s="253"/>
      <c r="F8" s="253"/>
      <c r="G8" s="253"/>
      <c r="H8" s="253"/>
      <c r="I8" s="253"/>
      <c r="J8" s="253"/>
    </row>
    <row r="9" spans="1:10" ht="14.25" customHeight="1">
      <c r="A9" s="97"/>
      <c r="B9" s="253"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253"/>
      <c r="D9" s="253"/>
      <c r="E9" s="253"/>
      <c r="F9" s="253"/>
      <c r="G9" s="253"/>
      <c r="H9" s="253"/>
      <c r="I9" s="253"/>
      <c r="J9" s="253"/>
    </row>
    <row r="10" spans="1:5" ht="14.25" customHeight="1">
      <c r="A10" s="97"/>
      <c r="B10" s="97"/>
      <c r="C10" s="97"/>
      <c r="D10" s="97"/>
      <c r="E10" s="97"/>
    </row>
    <row r="11" spans="1:10" ht="14.25" customHeight="1">
      <c r="A11" s="253" t="s">
        <v>130</v>
      </c>
      <c r="B11" s="253"/>
      <c r="C11" s="253"/>
      <c r="D11" s="253"/>
      <c r="E11" s="253"/>
      <c r="F11" s="253"/>
      <c r="G11" s="253"/>
      <c r="H11" s="253"/>
      <c r="I11" s="253"/>
      <c r="J11" s="253"/>
    </row>
    <row r="12" spans="1:10" ht="14.25" customHeight="1">
      <c r="A12" s="100"/>
      <c r="B12" s="253" t="s">
        <v>131</v>
      </c>
      <c r="C12" s="253"/>
      <c r="D12" s="253"/>
      <c r="E12" s="253"/>
      <c r="F12" s="253"/>
      <c r="G12" s="253"/>
      <c r="H12" s="253"/>
      <c r="I12" s="253"/>
      <c r="J12" s="253"/>
    </row>
    <row r="13" spans="1:10" ht="14.25" customHeight="1">
      <c r="A13" s="100"/>
      <c r="B13" s="253"/>
      <c r="C13" s="253"/>
      <c r="D13" s="253"/>
      <c r="E13" s="253"/>
      <c r="F13" s="253"/>
      <c r="G13" s="253"/>
      <c r="H13" s="253"/>
      <c r="I13" s="253"/>
      <c r="J13" s="253"/>
    </row>
    <row r="14" spans="1:10" ht="14.25" customHeight="1">
      <c r="A14" s="97"/>
      <c r="B14" s="97"/>
      <c r="C14" s="97"/>
      <c r="D14" s="97"/>
      <c r="E14" s="97"/>
      <c r="F14" s="113"/>
      <c r="G14" s="113"/>
      <c r="H14" s="113"/>
      <c r="I14" s="113"/>
      <c r="J14" s="97"/>
    </row>
    <row r="15" spans="1:10" ht="14.25" customHeight="1">
      <c r="A15" s="255" t="s">
        <v>132</v>
      </c>
      <c r="B15" s="255"/>
      <c r="C15" s="255"/>
      <c r="D15" s="255"/>
      <c r="E15" s="255"/>
      <c r="F15" s="255"/>
      <c r="G15" s="255"/>
      <c r="H15" s="255"/>
      <c r="I15" s="255"/>
      <c r="J15" s="255"/>
    </row>
    <row r="16" spans="2:11" ht="14.25" customHeight="1">
      <c r="B16" s="255" t="s">
        <v>133</v>
      </c>
      <c r="C16" s="255"/>
      <c r="D16" s="255"/>
      <c r="E16" s="255"/>
      <c r="F16" s="255"/>
      <c r="G16" s="255"/>
      <c r="H16" s="255"/>
      <c r="I16" s="255"/>
      <c r="J16" s="255"/>
      <c r="K16" s="114"/>
    </row>
    <row r="17" spans="4:9" ht="14.25" customHeight="1">
      <c r="D17" s="256" t="s">
        <v>77</v>
      </c>
      <c r="E17" s="256"/>
      <c r="F17" s="256"/>
      <c r="G17" s="256"/>
      <c r="H17" s="115" t="s">
        <v>78</v>
      </c>
      <c r="I17" s="115" t="s">
        <v>134</v>
      </c>
    </row>
    <row r="18" spans="4:9" ht="14.25" customHeight="1">
      <c r="D18" s="257" t="s">
        <v>135</v>
      </c>
      <c r="E18" s="257"/>
      <c r="F18" s="257"/>
      <c r="G18" s="257"/>
      <c r="H18" s="116">
        <f>'入力シート'!E24</f>
        <v>42307</v>
      </c>
      <c r="I18" s="117" t="s">
        <v>136</v>
      </c>
    </row>
    <row r="19" spans="4:9" ht="14.25" customHeight="1">
      <c r="D19" s="257" t="s">
        <v>79</v>
      </c>
      <c r="E19" s="257"/>
      <c r="F19" s="257"/>
      <c r="G19" s="257"/>
      <c r="H19" s="116">
        <f>'入力シート'!E25</f>
        <v>42313</v>
      </c>
      <c r="I19" s="117"/>
    </row>
    <row r="20" spans="4:9" ht="14.25" customHeight="1">
      <c r="D20" s="257" t="s">
        <v>80</v>
      </c>
      <c r="E20" s="257"/>
      <c r="F20" s="257"/>
      <c r="G20" s="257"/>
      <c r="H20" s="118">
        <f>'入力シート'!E26</f>
        <v>42320</v>
      </c>
      <c r="I20" s="119"/>
    </row>
    <row r="21" spans="4:9" ht="14.25" customHeight="1">
      <c r="D21" s="257"/>
      <c r="E21" s="257"/>
      <c r="F21" s="257"/>
      <c r="G21" s="257"/>
      <c r="H21" s="120">
        <f>'入力シート'!E27</f>
        <v>42324</v>
      </c>
      <c r="I21" s="121"/>
    </row>
    <row r="22" spans="4:9" ht="14.25" customHeight="1">
      <c r="D22" s="257" t="s">
        <v>137</v>
      </c>
      <c r="E22" s="257"/>
      <c r="F22" s="257"/>
      <c r="G22" s="257"/>
      <c r="H22" s="122">
        <f>'入力シート'!E29</f>
        <v>42347</v>
      </c>
      <c r="I22" s="123" t="s">
        <v>138</v>
      </c>
    </row>
    <row r="23" ht="14.25" customHeight="1"/>
    <row r="24" spans="2:9" ht="14.25" customHeight="1">
      <c r="B24" s="95" t="s">
        <v>139</v>
      </c>
      <c r="D24" s="258" t="s">
        <v>140</v>
      </c>
      <c r="E24" s="259"/>
      <c r="F24" s="259"/>
      <c r="G24" s="259"/>
      <c r="H24" s="259"/>
      <c r="I24" s="259"/>
    </row>
    <row r="25" spans="4:9" ht="14.25" customHeight="1">
      <c r="D25" s="259"/>
      <c r="E25" s="259"/>
      <c r="F25" s="259"/>
      <c r="G25" s="259"/>
      <c r="H25" s="259"/>
      <c r="I25" s="259"/>
    </row>
    <row r="26" spans="4:9" ht="14.25" customHeight="1">
      <c r="D26" s="259"/>
      <c r="E26" s="259"/>
      <c r="F26" s="259"/>
      <c r="G26" s="259"/>
      <c r="H26" s="259"/>
      <c r="I26" s="259"/>
    </row>
    <row r="27" spans="4:9" ht="14.25" customHeight="1">
      <c r="D27" s="259"/>
      <c r="E27" s="259"/>
      <c r="F27" s="259"/>
      <c r="G27" s="259"/>
      <c r="H27" s="259"/>
      <c r="I27" s="259"/>
    </row>
    <row r="28" spans="4:9" ht="14.25" customHeight="1">
      <c r="D28" s="259"/>
      <c r="E28" s="259"/>
      <c r="F28" s="259"/>
      <c r="G28" s="259"/>
      <c r="H28" s="259"/>
      <c r="I28" s="259"/>
    </row>
    <row r="29" spans="2:9" ht="14.25" customHeight="1">
      <c r="B29" s="95" t="s">
        <v>141</v>
      </c>
      <c r="D29" s="258" t="s">
        <v>142</v>
      </c>
      <c r="E29" s="259"/>
      <c r="F29" s="259"/>
      <c r="G29" s="259"/>
      <c r="H29" s="259"/>
      <c r="I29" s="259"/>
    </row>
    <row r="30" spans="4:9" ht="14.25" customHeight="1">
      <c r="D30" s="259"/>
      <c r="E30" s="259"/>
      <c r="F30" s="259"/>
      <c r="G30" s="259"/>
      <c r="H30" s="259"/>
      <c r="I30" s="259"/>
    </row>
    <row r="31" spans="1:10" s="110" customFormat="1" ht="14.25" customHeight="1">
      <c r="A31" s="113"/>
      <c r="B31" s="113"/>
      <c r="C31" s="113"/>
      <c r="D31" s="113"/>
      <c r="E31" s="113"/>
      <c r="F31" s="113"/>
      <c r="G31" s="113"/>
      <c r="H31" s="113"/>
      <c r="I31" s="113"/>
      <c r="J31" s="113"/>
    </row>
    <row r="32" spans="1:10" ht="14.25" customHeight="1">
      <c r="A32" s="253" t="s">
        <v>143</v>
      </c>
      <c r="B32" s="253"/>
      <c r="C32" s="253"/>
      <c r="D32" s="253"/>
      <c r="E32" s="253"/>
      <c r="F32" s="253"/>
      <c r="G32" s="253"/>
      <c r="H32" s="253"/>
      <c r="I32" s="253"/>
      <c r="J32" s="253"/>
    </row>
    <row r="33" spans="1:10" ht="14.25" customHeight="1">
      <c r="A33" s="100"/>
      <c r="B33" s="253" t="s">
        <v>144</v>
      </c>
      <c r="C33" s="253"/>
      <c r="D33" s="253"/>
      <c r="E33" s="253"/>
      <c r="F33" s="253"/>
      <c r="G33" s="253"/>
      <c r="H33" s="253"/>
      <c r="I33" s="253"/>
      <c r="J33" s="253"/>
    </row>
    <row r="34" spans="1:10" ht="14.25" customHeight="1">
      <c r="A34" s="100"/>
      <c r="B34" s="112"/>
      <c r="C34" s="112"/>
      <c r="D34" s="112"/>
      <c r="E34" s="112"/>
      <c r="F34" s="112"/>
      <c r="G34" s="112"/>
      <c r="H34" s="112"/>
      <c r="I34" s="112"/>
      <c r="J34" s="112"/>
    </row>
    <row r="35" spans="4:10" s="124" customFormat="1" ht="14.25" customHeight="1">
      <c r="D35" s="260" t="s">
        <v>85</v>
      </c>
      <c r="E35" s="260"/>
      <c r="F35" s="260"/>
      <c r="G35" s="261" t="s">
        <v>84</v>
      </c>
      <c r="H35" s="261"/>
      <c r="I35" s="261"/>
      <c r="J35" s="98"/>
    </row>
    <row r="36" spans="1:10" ht="28.5" customHeight="1">
      <c r="A36" s="97"/>
      <c r="B36" s="97"/>
      <c r="C36" s="97"/>
      <c r="D36" s="262" t="s">
        <v>145</v>
      </c>
      <c r="E36" s="262"/>
      <c r="F36" s="262"/>
      <c r="G36" s="263" t="str">
        <f>IF('入力シート'!C32="適用",'入力シート'!E32,"今回工事ではこの項目を適用しません。")</f>
        <v>今回工事ではこの項目を適用しません。</v>
      </c>
      <c r="H36" s="263"/>
      <c r="I36" s="263"/>
      <c r="J36" s="98"/>
    </row>
    <row r="37" spans="1:10" ht="28.5" customHeight="1">
      <c r="A37" s="97"/>
      <c r="B37" s="97"/>
      <c r="C37" s="97"/>
      <c r="D37" s="262" t="s">
        <v>146</v>
      </c>
      <c r="E37" s="262"/>
      <c r="F37" s="262"/>
      <c r="G37" s="263" t="str">
        <f>IF('入力シート'!C33="適用",'入力シート'!E33,"今回工事ではこの項目を適用しません。")</f>
        <v>ほ装</v>
      </c>
      <c r="H37" s="263"/>
      <c r="I37" s="263"/>
      <c r="J37" s="98"/>
    </row>
    <row r="38" spans="1:10" ht="28.5" customHeight="1">
      <c r="A38" s="97"/>
      <c r="B38" s="97"/>
      <c r="C38" s="97"/>
      <c r="D38" s="262" t="s">
        <v>147</v>
      </c>
      <c r="E38" s="262"/>
      <c r="F38" s="262"/>
      <c r="G38" s="263" t="str">
        <f>IF('入力シート'!C34="適用",'入力シート'!E34,"今回工事ではこの項目を適用しません。")</f>
        <v>土木（土木・造園）</v>
      </c>
      <c r="H38" s="263"/>
      <c r="I38" s="263"/>
      <c r="J38" s="98"/>
    </row>
    <row r="39" spans="1:10" ht="28.5" customHeight="1">
      <c r="A39" s="97"/>
      <c r="B39" s="97"/>
      <c r="C39" s="97"/>
      <c r="D39" s="262" t="s">
        <v>148</v>
      </c>
      <c r="E39" s="262"/>
      <c r="F39" s="262"/>
      <c r="G39" s="263" t="str">
        <f>IF('入力シート'!C35="適用",'入力シート'!E35,"今回工事ではこの項目を適用しません。")</f>
        <v>今回工事ではこの項目を適用しません。</v>
      </c>
      <c r="H39" s="263"/>
      <c r="I39" s="263"/>
      <c r="J39" s="98"/>
    </row>
    <row r="40" spans="1:10" ht="28.5" customHeight="1">
      <c r="A40" s="97"/>
      <c r="B40" s="97"/>
      <c r="C40" s="97"/>
      <c r="D40" s="262" t="s">
        <v>149</v>
      </c>
      <c r="E40" s="262"/>
      <c r="F40" s="262"/>
      <c r="G40" s="263" t="str">
        <f>IF('入力シート'!C37="適用",'入力シート'!E37,"今回工事ではこの項目を適用しません。")</f>
        <v>土木（土木・造園）</v>
      </c>
      <c r="H40" s="263"/>
      <c r="I40" s="263"/>
      <c r="J40" s="98"/>
    </row>
    <row r="41" spans="1:10" ht="28.5" customHeight="1">
      <c r="A41" s="97"/>
      <c r="B41" s="97"/>
      <c r="C41" s="97"/>
      <c r="D41" s="264" t="s">
        <v>244</v>
      </c>
      <c r="E41" s="264"/>
      <c r="F41" s="264"/>
      <c r="G41" s="263" t="str">
        <f>IF('入力シート'!C40="適用",'入力シート'!E40,"今回工事ではこの項目を適用しません。")</f>
        <v>鶴見区</v>
      </c>
      <c r="H41" s="263"/>
      <c r="I41" s="263"/>
      <c r="J41" s="98"/>
    </row>
    <row r="42" spans="1:10" ht="15" customHeight="1">
      <c r="A42" s="97"/>
      <c r="B42" s="97"/>
      <c r="C42" s="97"/>
      <c r="D42" s="125" t="s">
        <v>150</v>
      </c>
      <c r="E42" s="265" t="s">
        <v>151</v>
      </c>
      <c r="F42" s="265"/>
      <c r="G42" s="265"/>
      <c r="H42" s="265"/>
      <c r="I42" s="265"/>
      <c r="J42" s="98"/>
    </row>
    <row r="43" spans="1:10" ht="15" customHeight="1">
      <c r="A43" s="97"/>
      <c r="B43" s="97"/>
      <c r="C43" s="97"/>
      <c r="D43" s="125"/>
      <c r="E43" s="266"/>
      <c r="F43" s="266"/>
      <c r="G43" s="266"/>
      <c r="H43" s="266"/>
      <c r="I43" s="266"/>
      <c r="J43" s="98"/>
    </row>
    <row r="44" spans="1:10" ht="15" customHeight="1">
      <c r="A44" s="97"/>
      <c r="B44" s="97"/>
      <c r="C44" s="97"/>
      <c r="E44" s="266"/>
      <c r="F44" s="266"/>
      <c r="G44" s="266"/>
      <c r="H44" s="266"/>
      <c r="I44" s="266"/>
      <c r="J44" s="98"/>
    </row>
    <row r="45" spans="1:10" ht="15" customHeight="1">
      <c r="A45" s="97"/>
      <c r="B45" s="97"/>
      <c r="C45" s="97"/>
      <c r="D45" s="125" t="s">
        <v>152</v>
      </c>
      <c r="E45" s="267" t="s">
        <v>153</v>
      </c>
      <c r="F45" s="267"/>
      <c r="G45" s="267"/>
      <c r="H45" s="267"/>
      <c r="I45" s="267"/>
      <c r="J45" s="98"/>
    </row>
    <row r="46" spans="1:10" ht="15" customHeight="1">
      <c r="A46" s="97"/>
      <c r="B46" s="97"/>
      <c r="C46" s="97"/>
      <c r="D46" s="125"/>
      <c r="E46" s="267"/>
      <c r="F46" s="267"/>
      <c r="G46" s="267"/>
      <c r="H46" s="267"/>
      <c r="I46" s="267"/>
      <c r="J46" s="98"/>
    </row>
    <row r="47" spans="1:10" ht="14.25" customHeight="1">
      <c r="A47" s="126"/>
      <c r="B47" s="126"/>
      <c r="C47" s="126"/>
      <c r="D47" s="126"/>
      <c r="E47" s="126"/>
      <c r="F47" s="127"/>
      <c r="G47" s="127"/>
      <c r="H47" s="127"/>
      <c r="I47" s="127"/>
      <c r="J47" s="126"/>
    </row>
    <row r="48" spans="1:10" ht="14.25" customHeight="1">
      <c r="A48" s="253" t="s">
        <v>154</v>
      </c>
      <c r="B48" s="253"/>
      <c r="C48" s="253"/>
      <c r="D48" s="253"/>
      <c r="E48" s="253"/>
      <c r="F48" s="253"/>
      <c r="G48" s="253"/>
      <c r="H48" s="253"/>
      <c r="I48" s="253"/>
      <c r="J48" s="253"/>
    </row>
    <row r="49" spans="1:10" ht="14.25" customHeight="1">
      <c r="A49" s="97"/>
      <c r="B49" s="128" t="s">
        <v>128</v>
      </c>
      <c r="C49" s="253" t="s">
        <v>155</v>
      </c>
      <c r="D49" s="253"/>
      <c r="E49" s="253"/>
      <c r="F49" s="253"/>
      <c r="G49" s="253"/>
      <c r="H49" s="253"/>
      <c r="I49" s="253"/>
      <c r="J49" s="253"/>
    </row>
    <row r="50" spans="1:10" ht="14.25" customHeight="1">
      <c r="A50" s="97"/>
      <c r="B50" s="129"/>
      <c r="C50" s="97"/>
      <c r="D50" s="253" t="s">
        <v>156</v>
      </c>
      <c r="E50" s="253"/>
      <c r="F50" s="253"/>
      <c r="G50" s="253"/>
      <c r="H50" s="253"/>
      <c r="I50" s="253"/>
      <c r="J50" s="253"/>
    </row>
    <row r="51" spans="1:10" ht="14.25" customHeight="1">
      <c r="A51" s="97"/>
      <c r="B51" s="128" t="s">
        <v>129</v>
      </c>
      <c r="C51" s="253" t="s">
        <v>254</v>
      </c>
      <c r="D51" s="253"/>
      <c r="E51" s="253"/>
      <c r="F51" s="253"/>
      <c r="G51" s="253"/>
      <c r="H51" s="253"/>
      <c r="I51" s="253"/>
      <c r="J51" s="253"/>
    </row>
    <row r="52" spans="1:10" ht="14.25" customHeight="1">
      <c r="A52" s="112"/>
      <c r="B52" s="129"/>
      <c r="C52" s="253" t="s">
        <v>157</v>
      </c>
      <c r="D52" s="253"/>
      <c r="E52" s="253"/>
      <c r="F52" s="253"/>
      <c r="G52" s="253"/>
      <c r="H52" s="253"/>
      <c r="I52" s="253"/>
      <c r="J52" s="253"/>
    </row>
    <row r="53" spans="1:10" ht="14.25" customHeight="1">
      <c r="A53" s="112"/>
      <c r="B53" s="129"/>
      <c r="C53" s="253"/>
      <c r="D53" s="253"/>
      <c r="E53" s="253"/>
      <c r="F53" s="253"/>
      <c r="G53" s="253"/>
      <c r="H53" s="253"/>
      <c r="I53" s="253"/>
      <c r="J53" s="253"/>
    </row>
    <row r="54" spans="1:10" ht="14.25" customHeight="1">
      <c r="A54" s="112"/>
      <c r="B54" s="129"/>
      <c r="C54" s="253"/>
      <c r="D54" s="253"/>
      <c r="E54" s="253"/>
      <c r="F54" s="253"/>
      <c r="G54" s="253"/>
      <c r="H54" s="253"/>
      <c r="I54" s="253"/>
      <c r="J54" s="253"/>
    </row>
    <row r="55" spans="1:10" ht="14.25" customHeight="1">
      <c r="A55" s="112"/>
      <c r="B55" s="130"/>
      <c r="C55" s="253"/>
      <c r="D55" s="253"/>
      <c r="E55" s="253"/>
      <c r="F55" s="253"/>
      <c r="G55" s="253"/>
      <c r="H55" s="253"/>
      <c r="I55" s="253"/>
      <c r="J55" s="253"/>
    </row>
    <row r="56" spans="1:10" ht="14.25" customHeight="1">
      <c r="A56" s="97"/>
      <c r="B56" s="128" t="s">
        <v>158</v>
      </c>
      <c r="C56" s="253" t="s">
        <v>255</v>
      </c>
      <c r="D56" s="253"/>
      <c r="E56" s="253"/>
      <c r="F56" s="253"/>
      <c r="G56" s="253"/>
      <c r="H56" s="253"/>
      <c r="I56" s="253"/>
      <c r="J56" s="253"/>
    </row>
    <row r="57" spans="1:10" ht="14.25" customHeight="1">
      <c r="A57" s="112"/>
      <c r="B57" s="129"/>
      <c r="C57" s="112"/>
      <c r="D57" s="253" t="s">
        <v>159</v>
      </c>
      <c r="E57" s="253"/>
      <c r="F57" s="253"/>
      <c r="G57" s="253"/>
      <c r="H57" s="253"/>
      <c r="I57" s="253"/>
      <c r="J57" s="253"/>
    </row>
    <row r="58" spans="1:10" ht="14.25" customHeight="1">
      <c r="A58" s="112"/>
      <c r="B58" s="129"/>
      <c r="C58" s="112"/>
      <c r="D58" s="253"/>
      <c r="E58" s="253"/>
      <c r="F58" s="253"/>
      <c r="G58" s="253"/>
      <c r="H58" s="253"/>
      <c r="I58" s="253"/>
      <c r="J58" s="253"/>
    </row>
    <row r="59" spans="1:10" ht="14.25" customHeight="1">
      <c r="A59" s="112"/>
      <c r="B59" s="130"/>
      <c r="C59" s="112"/>
      <c r="D59" s="253"/>
      <c r="E59" s="253"/>
      <c r="F59" s="253"/>
      <c r="G59" s="253"/>
      <c r="H59" s="253"/>
      <c r="I59" s="253"/>
      <c r="J59" s="253"/>
    </row>
    <row r="60" spans="1:10" ht="14.25" customHeight="1">
      <c r="A60" s="97"/>
      <c r="B60" s="128" t="s">
        <v>160</v>
      </c>
      <c r="C60" s="253" t="s">
        <v>256</v>
      </c>
      <c r="D60" s="253"/>
      <c r="E60" s="253"/>
      <c r="F60" s="253"/>
      <c r="G60" s="253"/>
      <c r="H60" s="253"/>
      <c r="I60" s="253"/>
      <c r="J60" s="253"/>
    </row>
    <row r="61" spans="1:10" ht="14.25" customHeight="1">
      <c r="A61" s="112"/>
      <c r="B61" s="129"/>
      <c r="C61" s="258" t="s">
        <v>161</v>
      </c>
      <c r="D61" s="258"/>
      <c r="E61" s="258"/>
      <c r="F61" s="258"/>
      <c r="G61" s="258"/>
      <c r="H61" s="258"/>
      <c r="I61" s="258"/>
      <c r="J61" s="258"/>
    </row>
    <row r="62" spans="1:10" ht="14.25" customHeight="1">
      <c r="A62" s="112"/>
      <c r="B62" s="130"/>
      <c r="C62" s="258"/>
      <c r="D62" s="258"/>
      <c r="E62" s="258"/>
      <c r="F62" s="258"/>
      <c r="G62" s="258"/>
      <c r="H62" s="258"/>
      <c r="I62" s="258"/>
      <c r="J62" s="258"/>
    </row>
    <row r="63" spans="1:10" ht="14.25" customHeight="1">
      <c r="A63" s="112"/>
      <c r="B63" s="130"/>
      <c r="C63" s="258"/>
      <c r="D63" s="258"/>
      <c r="E63" s="258"/>
      <c r="F63" s="258"/>
      <c r="G63" s="258"/>
      <c r="H63" s="258"/>
      <c r="I63" s="258"/>
      <c r="J63" s="258"/>
    </row>
    <row r="64" spans="1:10" ht="14.25" customHeight="1">
      <c r="A64" s="112"/>
      <c r="B64" s="130"/>
      <c r="C64" s="258"/>
      <c r="D64" s="258"/>
      <c r="E64" s="258"/>
      <c r="F64" s="258"/>
      <c r="G64" s="258"/>
      <c r="H64" s="258"/>
      <c r="I64" s="258"/>
      <c r="J64" s="258"/>
    </row>
    <row r="65" spans="1:10" ht="14.25" customHeight="1">
      <c r="A65" s="97"/>
      <c r="B65" s="128" t="s">
        <v>162</v>
      </c>
      <c r="C65" s="253" t="s">
        <v>257</v>
      </c>
      <c r="D65" s="253"/>
      <c r="E65" s="253"/>
      <c r="F65" s="253"/>
      <c r="G65" s="253"/>
      <c r="H65" s="253"/>
      <c r="I65" s="253"/>
      <c r="J65" s="253"/>
    </row>
    <row r="66" spans="1:10" ht="14.25" customHeight="1">
      <c r="A66" s="112"/>
      <c r="B66" s="129"/>
      <c r="C66" s="112" t="s">
        <v>163</v>
      </c>
      <c r="D66" s="253" t="s">
        <v>164</v>
      </c>
      <c r="E66" s="253"/>
      <c r="F66" s="253"/>
      <c r="G66" s="253"/>
      <c r="H66" s="253"/>
      <c r="I66" s="253"/>
      <c r="J66" s="253"/>
    </row>
    <row r="67" spans="1:10" ht="14.25" customHeight="1">
      <c r="A67" s="112"/>
      <c r="C67" s="112" t="s">
        <v>165</v>
      </c>
      <c r="D67" s="253" t="s">
        <v>263</v>
      </c>
      <c r="E67" s="253"/>
      <c r="F67" s="253"/>
      <c r="G67" s="253"/>
      <c r="H67" s="253"/>
      <c r="I67" s="253"/>
      <c r="J67" s="253"/>
    </row>
    <row r="68" spans="1:10" ht="14.25" customHeight="1">
      <c r="A68" s="97"/>
      <c r="B68" s="97"/>
      <c r="C68" s="97"/>
      <c r="D68" s="97"/>
      <c r="E68" s="97"/>
      <c r="F68" s="113"/>
      <c r="G68" s="113"/>
      <c r="H68" s="113"/>
      <c r="I68" s="113"/>
      <c r="J68" s="97"/>
    </row>
    <row r="69" spans="1:10" ht="14.25" customHeight="1">
      <c r="A69" s="253" t="s">
        <v>166</v>
      </c>
      <c r="B69" s="253"/>
      <c r="C69" s="253"/>
      <c r="D69" s="253"/>
      <c r="E69" s="253"/>
      <c r="F69" s="253"/>
      <c r="G69" s="253"/>
      <c r="H69" s="253"/>
      <c r="I69" s="253"/>
      <c r="J69" s="253"/>
    </row>
    <row r="70" spans="1:10" ht="14.25" customHeight="1">
      <c r="A70" s="112"/>
      <c r="B70" s="253" t="s">
        <v>167</v>
      </c>
      <c r="C70" s="253"/>
      <c r="D70" s="253"/>
      <c r="E70" s="253"/>
      <c r="F70" s="253"/>
      <c r="G70" s="253"/>
      <c r="H70" s="253"/>
      <c r="I70" s="253"/>
      <c r="J70" s="253"/>
    </row>
    <row r="71" spans="1:10" ht="14.25" customHeight="1">
      <c r="A71" s="97"/>
      <c r="B71" s="97"/>
      <c r="C71" s="97"/>
      <c r="D71" s="97"/>
      <c r="E71" s="97"/>
      <c r="F71" s="113"/>
      <c r="G71" s="113"/>
      <c r="H71" s="113"/>
      <c r="I71" s="113"/>
      <c r="J71" s="97"/>
    </row>
    <row r="72" spans="1:10" ht="14.25" customHeight="1">
      <c r="A72" s="253" t="s">
        <v>168</v>
      </c>
      <c r="B72" s="253"/>
      <c r="C72" s="253"/>
      <c r="D72" s="253"/>
      <c r="E72" s="253"/>
      <c r="F72" s="253"/>
      <c r="G72" s="253"/>
      <c r="H72" s="253"/>
      <c r="I72" s="253"/>
      <c r="J72" s="253"/>
    </row>
    <row r="73" spans="1:10" ht="14.25" customHeight="1">
      <c r="A73" s="100"/>
      <c r="B73" s="253" t="s">
        <v>214</v>
      </c>
      <c r="C73" s="253"/>
      <c r="D73" s="253"/>
      <c r="E73" s="253"/>
      <c r="F73" s="253"/>
      <c r="G73" s="253"/>
      <c r="H73" s="253"/>
      <c r="I73" s="253"/>
      <c r="J73" s="253"/>
    </row>
    <row r="74" spans="1:10" ht="14.25" customHeight="1">
      <c r="A74" s="100"/>
      <c r="B74" s="100"/>
      <c r="C74" s="100"/>
      <c r="D74" s="100"/>
      <c r="E74" s="100"/>
      <c r="F74" s="131"/>
      <c r="G74" s="131"/>
      <c r="H74" s="131"/>
      <c r="I74" s="131"/>
      <c r="J74" s="100"/>
    </row>
    <row r="75" spans="1:10" ht="14.25" customHeight="1">
      <c r="A75" s="253" t="s">
        <v>169</v>
      </c>
      <c r="B75" s="253"/>
      <c r="C75" s="253"/>
      <c r="D75" s="253"/>
      <c r="E75" s="253"/>
      <c r="F75" s="253"/>
      <c r="G75" s="253"/>
      <c r="H75" s="253"/>
      <c r="I75" s="253"/>
      <c r="J75" s="253"/>
    </row>
    <row r="76" spans="1:10" ht="14.25" customHeight="1">
      <c r="A76" s="112"/>
      <c r="B76" s="128" t="s">
        <v>128</v>
      </c>
      <c r="C76" s="253" t="s">
        <v>258</v>
      </c>
      <c r="D76" s="253"/>
      <c r="E76" s="253"/>
      <c r="F76" s="253"/>
      <c r="G76" s="253"/>
      <c r="H76" s="253"/>
      <c r="I76" s="253"/>
      <c r="J76" s="253"/>
    </row>
    <row r="77" spans="3:10" ht="14.25" customHeight="1">
      <c r="C77" s="112" t="s">
        <v>163</v>
      </c>
      <c r="D77" s="258" t="s">
        <v>170</v>
      </c>
      <c r="E77" s="258"/>
      <c r="F77" s="258"/>
      <c r="G77" s="258"/>
      <c r="H77" s="258"/>
      <c r="I77" s="258"/>
      <c r="J77" s="258"/>
    </row>
    <row r="78" spans="3:10" ht="14.25" customHeight="1">
      <c r="C78" s="148"/>
      <c r="D78" s="258"/>
      <c r="E78" s="258"/>
      <c r="F78" s="258"/>
      <c r="G78" s="258"/>
      <c r="H78" s="258"/>
      <c r="I78" s="258"/>
      <c r="J78" s="258"/>
    </row>
    <row r="79" spans="3:10" ht="14.25" customHeight="1">
      <c r="C79" s="112" t="s">
        <v>165</v>
      </c>
      <c r="D79" s="258" t="s">
        <v>171</v>
      </c>
      <c r="E79" s="258"/>
      <c r="F79" s="258"/>
      <c r="G79" s="258"/>
      <c r="H79" s="258"/>
      <c r="I79" s="258"/>
      <c r="J79" s="258"/>
    </row>
    <row r="80" spans="3:10" ht="14.25" customHeight="1">
      <c r="C80" s="112" t="s">
        <v>172</v>
      </c>
      <c r="D80" s="258" t="s">
        <v>173</v>
      </c>
      <c r="E80" s="258"/>
      <c r="F80" s="258"/>
      <c r="G80" s="258"/>
      <c r="H80" s="258"/>
      <c r="I80" s="258"/>
      <c r="J80" s="258"/>
    </row>
    <row r="81" spans="3:10" ht="14.25" customHeight="1">
      <c r="C81" s="112"/>
      <c r="D81" s="258"/>
      <c r="E81" s="258"/>
      <c r="F81" s="258"/>
      <c r="G81" s="258"/>
      <c r="H81" s="258"/>
      <c r="I81" s="258"/>
      <c r="J81" s="258"/>
    </row>
    <row r="82" spans="3:10" ht="14.25" customHeight="1">
      <c r="C82" s="112" t="s">
        <v>174</v>
      </c>
      <c r="D82" s="258" t="s">
        <v>175</v>
      </c>
      <c r="E82" s="258"/>
      <c r="F82" s="258"/>
      <c r="G82" s="258"/>
      <c r="H82" s="258"/>
      <c r="I82" s="258"/>
      <c r="J82" s="258"/>
    </row>
    <row r="83" spans="3:10" ht="14.25" customHeight="1">
      <c r="C83" s="112"/>
      <c r="D83" s="258"/>
      <c r="E83" s="258"/>
      <c r="F83" s="258"/>
      <c r="G83" s="258"/>
      <c r="H83" s="258"/>
      <c r="I83" s="258"/>
      <c r="J83" s="258"/>
    </row>
    <row r="84" spans="3:10" ht="14.25" customHeight="1">
      <c r="C84" s="112"/>
      <c r="D84" s="258" t="s">
        <v>176</v>
      </c>
      <c r="E84" s="258"/>
      <c r="F84" s="258"/>
      <c r="G84" s="258"/>
      <c r="H84" s="258"/>
      <c r="I84" s="258"/>
      <c r="J84" s="258"/>
    </row>
    <row r="85" spans="3:10" ht="14.25" customHeight="1">
      <c r="C85" s="97" t="s">
        <v>330</v>
      </c>
      <c r="D85" s="258" t="s">
        <v>177</v>
      </c>
      <c r="E85" s="258"/>
      <c r="F85" s="258"/>
      <c r="G85" s="258"/>
      <c r="H85" s="258"/>
      <c r="I85" s="258"/>
      <c r="J85" s="258"/>
    </row>
    <row r="86" spans="3:10" ht="14.25" customHeight="1">
      <c r="C86" s="97" t="s">
        <v>331</v>
      </c>
      <c r="D86" s="258" t="s">
        <v>178</v>
      </c>
      <c r="E86" s="258"/>
      <c r="F86" s="258"/>
      <c r="G86" s="258"/>
      <c r="H86" s="258"/>
      <c r="I86" s="258"/>
      <c r="J86" s="258"/>
    </row>
    <row r="87" spans="3:10" ht="14.25" customHeight="1">
      <c r="C87" s="97"/>
      <c r="D87" s="258"/>
      <c r="E87" s="258"/>
      <c r="F87" s="258"/>
      <c r="G87" s="258"/>
      <c r="H87" s="258"/>
      <c r="I87" s="258"/>
      <c r="J87" s="258"/>
    </row>
    <row r="88" spans="3:10" ht="14.25" customHeight="1">
      <c r="C88" s="97" t="s">
        <v>332</v>
      </c>
      <c r="D88" s="258" t="s">
        <v>179</v>
      </c>
      <c r="E88" s="258"/>
      <c r="F88" s="258"/>
      <c r="G88" s="258"/>
      <c r="H88" s="258"/>
      <c r="I88" s="258"/>
      <c r="J88" s="258"/>
    </row>
    <row r="89" spans="3:10" ht="14.25" customHeight="1">
      <c r="C89" s="114" t="s">
        <v>333</v>
      </c>
      <c r="D89" s="269" t="s">
        <v>334</v>
      </c>
      <c r="E89" s="269"/>
      <c r="F89" s="269"/>
      <c r="G89" s="269"/>
      <c r="H89" s="269"/>
      <c r="I89" s="269"/>
      <c r="J89" s="269"/>
    </row>
    <row r="90" spans="3:10" ht="14.25" customHeight="1">
      <c r="C90" s="114"/>
      <c r="D90" s="269"/>
      <c r="E90" s="269"/>
      <c r="F90" s="269"/>
      <c r="G90" s="269"/>
      <c r="H90" s="269"/>
      <c r="I90" s="269"/>
      <c r="J90" s="269"/>
    </row>
    <row r="91" spans="3:10" ht="14.25" customHeight="1">
      <c r="C91" s="114"/>
      <c r="D91" s="269"/>
      <c r="E91" s="269"/>
      <c r="F91" s="269"/>
      <c r="G91" s="269"/>
      <c r="H91" s="269"/>
      <c r="I91" s="269"/>
      <c r="J91" s="269"/>
    </row>
    <row r="92" spans="3:10" ht="14.25" customHeight="1">
      <c r="C92" s="114"/>
      <c r="D92" s="269"/>
      <c r="E92" s="269"/>
      <c r="F92" s="269"/>
      <c r="G92" s="269"/>
      <c r="H92" s="269"/>
      <c r="I92" s="269"/>
      <c r="J92" s="269"/>
    </row>
    <row r="93" spans="1:10" ht="14.25" customHeight="1">
      <c r="A93" s="112"/>
      <c r="B93" s="128" t="s">
        <v>180</v>
      </c>
      <c r="C93" s="253" t="s">
        <v>259</v>
      </c>
      <c r="D93" s="253"/>
      <c r="E93" s="253"/>
      <c r="F93" s="253"/>
      <c r="G93" s="253"/>
      <c r="H93" s="253"/>
      <c r="I93" s="253"/>
      <c r="J93" s="253"/>
    </row>
    <row r="94" spans="1:10" ht="14.25" customHeight="1">
      <c r="A94" s="130"/>
      <c r="B94" s="130"/>
      <c r="C94" s="253" t="s">
        <v>181</v>
      </c>
      <c r="D94" s="253"/>
      <c r="E94" s="253"/>
      <c r="F94" s="253"/>
      <c r="G94" s="253"/>
      <c r="H94" s="253"/>
      <c r="I94" s="253"/>
      <c r="J94" s="253"/>
    </row>
    <row r="95" spans="1:10" ht="14.25" customHeight="1">
      <c r="A95" s="130"/>
      <c r="B95" s="130"/>
      <c r="C95" s="253" t="s">
        <v>182</v>
      </c>
      <c r="D95" s="253"/>
      <c r="E95" s="253"/>
      <c r="F95" s="253"/>
      <c r="G95" s="253"/>
      <c r="H95" s="253"/>
      <c r="I95" s="253"/>
      <c r="J95" s="253"/>
    </row>
    <row r="96" spans="1:10" ht="14.25" customHeight="1">
      <c r="A96" s="130"/>
      <c r="B96" s="130"/>
      <c r="C96" s="253" t="s">
        <v>183</v>
      </c>
      <c r="D96" s="253"/>
      <c r="E96" s="253"/>
      <c r="F96" s="253"/>
      <c r="G96" s="253"/>
      <c r="H96" s="253"/>
      <c r="I96" s="253"/>
      <c r="J96" s="253"/>
    </row>
    <row r="97" spans="3:10" ht="14.25" customHeight="1">
      <c r="C97" s="130" t="s">
        <v>163</v>
      </c>
      <c r="D97" s="253" t="s">
        <v>184</v>
      </c>
      <c r="E97" s="253"/>
      <c r="F97" s="253"/>
      <c r="G97" s="253"/>
      <c r="H97" s="253"/>
      <c r="I97" s="253"/>
      <c r="J97" s="253"/>
    </row>
    <row r="98" spans="3:10" ht="14.25" customHeight="1">
      <c r="C98" s="130" t="s">
        <v>165</v>
      </c>
      <c r="D98" s="253" t="s">
        <v>185</v>
      </c>
      <c r="E98" s="253"/>
      <c r="F98" s="253"/>
      <c r="G98" s="253"/>
      <c r="H98" s="253"/>
      <c r="I98" s="253"/>
      <c r="J98" s="253"/>
    </row>
    <row r="99" spans="3:10" ht="14.25" customHeight="1">
      <c r="C99" s="130" t="s">
        <v>172</v>
      </c>
      <c r="D99" s="253" t="s">
        <v>186</v>
      </c>
      <c r="E99" s="253"/>
      <c r="F99" s="253"/>
      <c r="G99" s="253"/>
      <c r="H99" s="253"/>
      <c r="I99" s="253"/>
      <c r="J99" s="253"/>
    </row>
    <row r="100" spans="1:10" ht="14.25" customHeight="1">
      <c r="A100" s="130"/>
      <c r="B100" s="130"/>
      <c r="C100" s="130"/>
      <c r="D100" s="112"/>
      <c r="E100" s="112"/>
      <c r="F100" s="132"/>
      <c r="G100" s="132"/>
      <c r="H100" s="132"/>
      <c r="I100" s="132"/>
      <c r="J100" s="112"/>
    </row>
    <row r="101" spans="1:10" ht="14.25" customHeight="1">
      <c r="A101" s="253" t="s">
        <v>187</v>
      </c>
      <c r="B101" s="253"/>
      <c r="C101" s="253"/>
      <c r="D101" s="253"/>
      <c r="E101" s="253"/>
      <c r="F101" s="253"/>
      <c r="G101" s="253"/>
      <c r="H101" s="253"/>
      <c r="I101" s="253"/>
      <c r="J101" s="253"/>
    </row>
    <row r="102" spans="2:10" ht="14.25" customHeight="1">
      <c r="B102" s="128" t="s">
        <v>128</v>
      </c>
      <c r="C102" s="258" t="s">
        <v>188</v>
      </c>
      <c r="D102" s="258"/>
      <c r="E102" s="258"/>
      <c r="F102" s="258"/>
      <c r="G102" s="258"/>
      <c r="H102" s="258"/>
      <c r="I102" s="258"/>
      <c r="J102" s="258"/>
    </row>
    <row r="103" spans="1:10" ht="14.25" customHeight="1">
      <c r="A103" s="130"/>
      <c r="B103" s="129"/>
      <c r="C103" s="258"/>
      <c r="D103" s="258"/>
      <c r="E103" s="258"/>
      <c r="F103" s="258"/>
      <c r="G103" s="258"/>
      <c r="H103" s="258"/>
      <c r="I103" s="258"/>
      <c r="J103" s="258"/>
    </row>
    <row r="104" spans="2:10" ht="14.25" customHeight="1">
      <c r="B104" s="129"/>
      <c r="C104" s="258"/>
      <c r="D104" s="258"/>
      <c r="E104" s="258"/>
      <c r="F104" s="258"/>
      <c r="G104" s="258"/>
      <c r="H104" s="258"/>
      <c r="I104" s="258"/>
      <c r="J104" s="258"/>
    </row>
    <row r="105" spans="2:10" ht="14.25" customHeight="1">
      <c r="B105" s="129"/>
      <c r="C105" s="130" t="s">
        <v>163</v>
      </c>
      <c r="D105" s="253" t="s">
        <v>189</v>
      </c>
      <c r="E105" s="253"/>
      <c r="F105" s="253"/>
      <c r="G105" s="253"/>
      <c r="H105" s="253"/>
      <c r="I105" s="253"/>
      <c r="J105" s="253"/>
    </row>
    <row r="106" spans="2:10" ht="14.25" customHeight="1">
      <c r="B106" s="129"/>
      <c r="C106" s="130" t="s">
        <v>165</v>
      </c>
      <c r="D106" s="253" t="s">
        <v>190</v>
      </c>
      <c r="E106" s="253"/>
      <c r="F106" s="253"/>
      <c r="G106" s="253"/>
      <c r="H106" s="253"/>
      <c r="I106" s="253"/>
      <c r="J106" s="253"/>
    </row>
    <row r="107" spans="2:10" ht="14.25" customHeight="1">
      <c r="B107" s="129"/>
      <c r="C107" s="130" t="s">
        <v>172</v>
      </c>
      <c r="D107" s="253" t="s">
        <v>191</v>
      </c>
      <c r="E107" s="253"/>
      <c r="F107" s="253"/>
      <c r="G107" s="253"/>
      <c r="H107" s="253"/>
      <c r="I107" s="253"/>
      <c r="J107" s="253"/>
    </row>
    <row r="108" spans="1:10" ht="14.25" customHeight="1">
      <c r="A108" s="111"/>
      <c r="B108" s="128" t="s">
        <v>129</v>
      </c>
      <c r="C108" s="253" t="s">
        <v>192</v>
      </c>
      <c r="D108" s="253"/>
      <c r="E108" s="253"/>
      <c r="F108" s="253"/>
      <c r="G108" s="253"/>
      <c r="H108" s="253"/>
      <c r="I108" s="253"/>
      <c r="J108" s="253"/>
    </row>
    <row r="109" spans="2:10" ht="14.25" customHeight="1">
      <c r="B109" s="129"/>
      <c r="C109" s="253"/>
      <c r="D109" s="253"/>
      <c r="E109" s="253"/>
      <c r="F109" s="253"/>
      <c r="G109" s="253"/>
      <c r="H109" s="253"/>
      <c r="I109" s="253"/>
      <c r="J109" s="253"/>
    </row>
    <row r="110" spans="1:10" ht="14.25" customHeight="1">
      <c r="A110" s="111"/>
      <c r="B110" s="128" t="s">
        <v>158</v>
      </c>
      <c r="C110" s="253" t="s">
        <v>193</v>
      </c>
      <c r="D110" s="253"/>
      <c r="E110" s="253"/>
      <c r="F110" s="253"/>
      <c r="G110" s="253"/>
      <c r="H110" s="253"/>
      <c r="I110" s="253"/>
      <c r="J110" s="253"/>
    </row>
    <row r="111" spans="1:10" ht="14.25" customHeight="1">
      <c r="A111" s="111"/>
      <c r="B111" s="128" t="s">
        <v>160</v>
      </c>
      <c r="C111" s="253" t="s">
        <v>194</v>
      </c>
      <c r="D111" s="253"/>
      <c r="E111" s="253"/>
      <c r="F111" s="253"/>
      <c r="G111" s="253"/>
      <c r="H111" s="253"/>
      <c r="I111" s="253"/>
      <c r="J111" s="253"/>
    </row>
    <row r="112" spans="1:10" ht="14.25" customHeight="1">
      <c r="A112" s="130"/>
      <c r="B112" s="130"/>
      <c r="C112" s="130"/>
      <c r="D112" s="100"/>
      <c r="E112" s="100"/>
      <c r="F112" s="131"/>
      <c r="G112" s="131"/>
      <c r="H112" s="131"/>
      <c r="I112" s="131"/>
      <c r="J112" s="100"/>
    </row>
    <row r="113" spans="1:10" ht="14.25" customHeight="1">
      <c r="A113" s="253" t="s">
        <v>195</v>
      </c>
      <c r="B113" s="253"/>
      <c r="C113" s="253"/>
      <c r="D113" s="253"/>
      <c r="E113" s="253"/>
      <c r="F113" s="253"/>
      <c r="G113" s="253"/>
      <c r="H113" s="253"/>
      <c r="I113" s="253"/>
      <c r="J113" s="253"/>
    </row>
    <row r="114" spans="1:10" ht="14.25" customHeight="1">
      <c r="A114" s="130"/>
      <c r="B114" s="253" t="s">
        <v>196</v>
      </c>
      <c r="C114" s="253"/>
      <c r="D114" s="253"/>
      <c r="E114" s="253"/>
      <c r="F114" s="253"/>
      <c r="G114" s="253"/>
      <c r="H114" s="253"/>
      <c r="I114" s="253"/>
      <c r="J114" s="253"/>
    </row>
    <row r="115" spans="1:10" ht="14.25" customHeight="1">
      <c r="A115" s="130"/>
      <c r="B115" s="130"/>
      <c r="C115" s="130"/>
      <c r="D115" s="100"/>
      <c r="E115" s="100"/>
      <c r="F115" s="131"/>
      <c r="G115" s="131"/>
      <c r="H115" s="131"/>
      <c r="I115" s="131"/>
      <c r="J115" s="100"/>
    </row>
    <row r="116" spans="1:10" ht="14.25" customHeight="1">
      <c r="A116" s="253" t="s">
        <v>197</v>
      </c>
      <c r="B116" s="253"/>
      <c r="C116" s="253"/>
      <c r="D116" s="253"/>
      <c r="E116" s="253"/>
      <c r="F116" s="253"/>
      <c r="G116" s="253"/>
      <c r="H116" s="253"/>
      <c r="I116" s="253"/>
      <c r="J116" s="253"/>
    </row>
    <row r="117" spans="1:10" ht="14.25" customHeight="1">
      <c r="A117" s="130"/>
      <c r="B117" s="258" t="s">
        <v>328</v>
      </c>
      <c r="C117" s="258"/>
      <c r="D117" s="258"/>
      <c r="E117" s="258"/>
      <c r="F117" s="258"/>
      <c r="G117" s="258"/>
      <c r="H117" s="258"/>
      <c r="I117" s="258"/>
      <c r="J117" s="258"/>
    </row>
    <row r="118" spans="1:10" ht="14.25" customHeight="1">
      <c r="A118" s="130"/>
      <c r="B118" s="130"/>
      <c r="C118" s="130"/>
      <c r="D118" s="100"/>
      <c r="E118" s="100"/>
      <c r="F118" s="131"/>
      <c r="G118" s="131"/>
      <c r="H118" s="131"/>
      <c r="I118" s="131"/>
      <c r="J118" s="100"/>
    </row>
    <row r="119" spans="1:10" ht="14.25" customHeight="1">
      <c r="A119" s="253" t="s">
        <v>301</v>
      </c>
      <c r="B119" s="253"/>
      <c r="C119" s="253"/>
      <c r="D119" s="253"/>
      <c r="E119" s="253"/>
      <c r="F119" s="253"/>
      <c r="G119" s="253"/>
      <c r="H119" s="253"/>
      <c r="I119" s="253"/>
      <c r="J119" s="253"/>
    </row>
    <row r="120" spans="1:10" ht="14.25" customHeight="1">
      <c r="A120" s="111"/>
      <c r="B120" s="128" t="s">
        <v>128</v>
      </c>
      <c r="C120" s="253" t="s">
        <v>329</v>
      </c>
      <c r="D120" s="253"/>
      <c r="E120" s="253"/>
      <c r="F120" s="253"/>
      <c r="G120" s="253"/>
      <c r="H120" s="253"/>
      <c r="I120" s="253"/>
      <c r="J120" s="253"/>
    </row>
    <row r="121" spans="1:10" ht="14.25" customHeight="1">
      <c r="A121" s="130"/>
      <c r="B121" s="129"/>
      <c r="C121" s="253"/>
      <c r="D121" s="253"/>
      <c r="E121" s="253"/>
      <c r="F121" s="253"/>
      <c r="G121" s="253"/>
      <c r="H121" s="253"/>
      <c r="I121" s="253"/>
      <c r="J121" s="253"/>
    </row>
    <row r="122" spans="1:10" ht="14.25" customHeight="1">
      <c r="A122" s="111"/>
      <c r="B122" s="128" t="s">
        <v>129</v>
      </c>
      <c r="C122" s="253" t="s">
        <v>337</v>
      </c>
      <c r="D122" s="253"/>
      <c r="E122" s="253"/>
      <c r="F122" s="253"/>
      <c r="G122" s="253"/>
      <c r="H122" s="253"/>
      <c r="I122" s="253"/>
      <c r="J122" s="253"/>
    </row>
    <row r="123" spans="3:10" ht="14.25" customHeight="1">
      <c r="C123" s="253"/>
      <c r="D123" s="253"/>
      <c r="E123" s="253"/>
      <c r="F123" s="253"/>
      <c r="G123" s="253"/>
      <c r="H123" s="253"/>
      <c r="I123" s="253"/>
      <c r="J123" s="253"/>
    </row>
    <row r="124" spans="2:10" ht="14.25" customHeight="1">
      <c r="B124" s="128" t="s">
        <v>158</v>
      </c>
      <c r="C124" s="258" t="s">
        <v>338</v>
      </c>
      <c r="D124" s="258"/>
      <c r="E124" s="258"/>
      <c r="F124" s="258"/>
      <c r="G124" s="258"/>
      <c r="H124" s="258"/>
      <c r="I124" s="258"/>
      <c r="J124" s="258"/>
    </row>
    <row r="125" spans="2:10" ht="14.25" customHeight="1">
      <c r="B125" s="128"/>
      <c r="C125" s="258"/>
      <c r="D125" s="258"/>
      <c r="E125" s="258"/>
      <c r="F125" s="258"/>
      <c r="G125" s="258"/>
      <c r="H125" s="258"/>
      <c r="I125" s="258"/>
      <c r="J125" s="258"/>
    </row>
    <row r="126" spans="4:10" ht="14.25" customHeight="1">
      <c r="D126" s="268" t="s">
        <v>321</v>
      </c>
      <c r="E126" s="268"/>
      <c r="F126" s="268"/>
      <c r="G126" s="268"/>
      <c r="H126" s="268"/>
      <c r="I126" s="268"/>
      <c r="J126" s="268"/>
    </row>
    <row r="127" spans="4:10" ht="14.25" customHeight="1">
      <c r="D127" s="253" t="s">
        <v>198</v>
      </c>
      <c r="E127" s="253"/>
      <c r="F127" s="253"/>
      <c r="G127" s="253"/>
      <c r="H127" s="253"/>
      <c r="I127" s="253"/>
      <c r="J127" s="253"/>
    </row>
    <row r="128" spans="4:10" ht="14.25" customHeight="1">
      <c r="D128" s="253" t="s">
        <v>199</v>
      </c>
      <c r="E128" s="253"/>
      <c r="F128" s="253"/>
      <c r="G128" s="253"/>
      <c r="H128" s="253"/>
      <c r="I128" s="253"/>
      <c r="J128" s="253"/>
    </row>
    <row r="129" spans="4:10" ht="14.25" customHeight="1">
      <c r="D129" s="253" t="s">
        <v>200</v>
      </c>
      <c r="E129" s="253"/>
      <c r="F129" s="253"/>
      <c r="G129" s="253"/>
      <c r="H129" s="253"/>
      <c r="I129" s="253"/>
      <c r="J129" s="253"/>
    </row>
    <row r="130" spans="4:10" ht="14.25" customHeight="1">
      <c r="D130" s="253" t="s">
        <v>201</v>
      </c>
      <c r="E130" s="253"/>
      <c r="F130" s="253"/>
      <c r="G130" s="253"/>
      <c r="H130" s="253"/>
      <c r="I130" s="253"/>
      <c r="J130" s="253"/>
    </row>
    <row r="131" spans="4:10" ht="14.25" customHeight="1">
      <c r="D131" s="253" t="s">
        <v>202</v>
      </c>
      <c r="E131" s="253"/>
      <c r="F131" s="253"/>
      <c r="G131" s="253"/>
      <c r="H131" s="253"/>
      <c r="I131" s="253"/>
      <c r="J131" s="253"/>
    </row>
    <row r="132" spans="4:10" ht="14.25" customHeight="1">
      <c r="D132" s="253" t="s">
        <v>203</v>
      </c>
      <c r="E132" s="253"/>
      <c r="F132" s="253"/>
      <c r="G132" s="253"/>
      <c r="H132" s="253"/>
      <c r="I132" s="253"/>
      <c r="J132" s="253"/>
    </row>
    <row r="133" spans="4:10" ht="14.25" customHeight="1">
      <c r="D133" s="112"/>
      <c r="E133" s="112"/>
      <c r="F133" s="132"/>
      <c r="G133" s="132"/>
      <c r="H133" s="132"/>
      <c r="I133" s="132"/>
      <c r="J133" s="112"/>
    </row>
    <row r="134" spans="1:10" ht="14.25" customHeight="1">
      <c r="A134" s="253" t="s">
        <v>204</v>
      </c>
      <c r="B134" s="253"/>
      <c r="C134" s="253"/>
      <c r="D134" s="253"/>
      <c r="E134" s="253"/>
      <c r="F134" s="253"/>
      <c r="G134" s="253"/>
      <c r="H134" s="253"/>
      <c r="I134" s="253"/>
      <c r="J134" s="253"/>
    </row>
    <row r="135" spans="2:10" ht="14.25" customHeight="1">
      <c r="B135" s="253" t="s">
        <v>205</v>
      </c>
      <c r="C135" s="253"/>
      <c r="D135" s="253"/>
      <c r="E135" s="253"/>
      <c r="F135" s="253"/>
      <c r="G135" s="253"/>
      <c r="H135" s="253"/>
      <c r="I135" s="253"/>
      <c r="J135" s="253"/>
    </row>
    <row r="136" spans="1:10" ht="14.25" customHeight="1">
      <c r="A136" s="111"/>
      <c r="B136" s="128" t="s">
        <v>128</v>
      </c>
      <c r="C136" s="253" t="s">
        <v>261</v>
      </c>
      <c r="D136" s="253"/>
      <c r="E136" s="253"/>
      <c r="F136" s="253"/>
      <c r="G136" s="253"/>
      <c r="H136" s="253"/>
      <c r="I136" s="253"/>
      <c r="J136" s="253"/>
    </row>
    <row r="137" spans="1:10" ht="14.25" customHeight="1">
      <c r="A137" s="130"/>
      <c r="C137" s="130"/>
      <c r="D137" s="253" t="s">
        <v>206</v>
      </c>
      <c r="E137" s="253"/>
      <c r="F137" s="253"/>
      <c r="G137" s="253"/>
      <c r="H137" s="253"/>
      <c r="I137" s="253"/>
      <c r="J137" s="253"/>
    </row>
    <row r="138" spans="4:10" ht="14.25" customHeight="1">
      <c r="D138" s="253" t="s">
        <v>207</v>
      </c>
      <c r="E138" s="253"/>
      <c r="F138" s="253"/>
      <c r="G138" s="253"/>
      <c r="H138" s="253"/>
      <c r="I138" s="253"/>
      <c r="J138" s="253"/>
    </row>
    <row r="139" spans="1:10" ht="14.25" customHeight="1">
      <c r="A139" s="111"/>
      <c r="B139" s="111"/>
      <c r="C139" s="111"/>
      <c r="D139" s="253" t="s">
        <v>208</v>
      </c>
      <c r="E139" s="253"/>
      <c r="F139" s="253"/>
      <c r="G139" s="253"/>
      <c r="H139" s="253"/>
      <c r="I139" s="253"/>
      <c r="J139" s="253"/>
    </row>
    <row r="140" spans="1:10" ht="14.25" customHeight="1">
      <c r="A140" s="111"/>
      <c r="B140" s="128" t="s">
        <v>129</v>
      </c>
      <c r="C140" s="253" t="s">
        <v>262</v>
      </c>
      <c r="D140" s="253"/>
      <c r="E140" s="253"/>
      <c r="F140" s="253"/>
      <c r="G140" s="253"/>
      <c r="H140" s="253"/>
      <c r="I140" s="253"/>
      <c r="J140" s="253"/>
    </row>
    <row r="141" spans="1:10" ht="14.25" customHeight="1">
      <c r="A141" s="111"/>
      <c r="B141" s="111"/>
      <c r="C141" s="258" t="s">
        <v>209</v>
      </c>
      <c r="D141" s="258"/>
      <c r="E141" s="258"/>
      <c r="F141" s="258"/>
      <c r="G141" s="258"/>
      <c r="H141" s="258"/>
      <c r="I141" s="258"/>
      <c r="J141" s="258"/>
    </row>
    <row r="142" spans="3:10" ht="14.25" customHeight="1">
      <c r="C142" s="258"/>
      <c r="D142" s="258"/>
      <c r="E142" s="258"/>
      <c r="F142" s="258"/>
      <c r="G142" s="258"/>
      <c r="H142" s="258"/>
      <c r="I142" s="258"/>
      <c r="J142" s="258"/>
    </row>
    <row r="143" spans="4:10" ht="14.25" customHeight="1">
      <c r="D143" s="112"/>
      <c r="E143" s="112"/>
      <c r="F143" s="132"/>
      <c r="G143" s="132"/>
      <c r="H143" s="132"/>
      <c r="I143" s="132"/>
      <c r="J143" s="112"/>
    </row>
    <row r="144" spans="1:10" ht="14.25" customHeight="1">
      <c r="A144" s="253" t="s">
        <v>210</v>
      </c>
      <c r="B144" s="253"/>
      <c r="C144" s="253"/>
      <c r="D144" s="253"/>
      <c r="E144" s="253"/>
      <c r="F144" s="253"/>
      <c r="G144" s="253"/>
      <c r="H144" s="253"/>
      <c r="I144" s="253"/>
      <c r="J144" s="253"/>
    </row>
    <row r="145" spans="1:10" ht="14.25" customHeight="1">
      <c r="A145" s="111"/>
      <c r="B145" s="128" t="s">
        <v>128</v>
      </c>
      <c r="C145" s="253" t="s">
        <v>211</v>
      </c>
      <c r="D145" s="253"/>
      <c r="E145" s="253"/>
      <c r="F145" s="253"/>
      <c r="G145" s="253"/>
      <c r="H145" s="253"/>
      <c r="I145" s="253"/>
      <c r="J145" s="253"/>
    </row>
    <row r="146" spans="1:10" ht="14.25" customHeight="1">
      <c r="A146" s="111"/>
      <c r="B146" s="128" t="s">
        <v>129</v>
      </c>
      <c r="C146" s="253" t="s">
        <v>212</v>
      </c>
      <c r="D146" s="253"/>
      <c r="E146" s="253"/>
      <c r="F146" s="253"/>
      <c r="G146" s="253"/>
      <c r="H146" s="253"/>
      <c r="I146" s="253"/>
      <c r="J146" s="253"/>
    </row>
    <row r="147" spans="1:10" ht="14.25" customHeight="1">
      <c r="A147" s="111"/>
      <c r="B147" s="128" t="s">
        <v>158</v>
      </c>
      <c r="C147" s="258" t="s">
        <v>213</v>
      </c>
      <c r="D147" s="258"/>
      <c r="E147" s="258"/>
      <c r="F147" s="258"/>
      <c r="G147" s="258"/>
      <c r="H147" s="258"/>
      <c r="I147" s="258"/>
      <c r="J147" s="258"/>
    </row>
    <row r="148" spans="1:10" ht="14.25" customHeight="1">
      <c r="A148" s="129"/>
      <c r="C148" s="258"/>
      <c r="D148" s="258"/>
      <c r="E148" s="258"/>
      <c r="F148" s="258"/>
      <c r="G148" s="258"/>
      <c r="H148" s="258"/>
      <c r="I148" s="258"/>
      <c r="J148" s="258"/>
    </row>
    <row r="149" spans="1:10" ht="14.25" customHeight="1">
      <c r="A149" s="129"/>
      <c r="B149" s="129"/>
      <c r="C149" s="258"/>
      <c r="D149" s="258"/>
      <c r="E149" s="258"/>
      <c r="F149" s="258"/>
      <c r="G149" s="258"/>
      <c r="H149" s="258"/>
      <c r="I149" s="258"/>
      <c r="J149" s="258"/>
    </row>
    <row r="150" spans="1:10" ht="14.25" customHeight="1">
      <c r="A150" s="111"/>
      <c r="B150" s="128" t="s">
        <v>160</v>
      </c>
      <c r="C150" s="258" t="s">
        <v>260</v>
      </c>
      <c r="D150" s="258"/>
      <c r="E150" s="258"/>
      <c r="F150" s="258"/>
      <c r="G150" s="258"/>
      <c r="H150" s="258"/>
      <c r="I150" s="258"/>
      <c r="J150" s="258"/>
    </row>
    <row r="151" spans="1:10" ht="14.25" customHeight="1">
      <c r="A151" s="111"/>
      <c r="B151" s="128" t="s">
        <v>162</v>
      </c>
      <c r="C151" s="253" t="s">
        <v>264</v>
      </c>
      <c r="D151" s="253"/>
      <c r="E151" s="253"/>
      <c r="F151" s="253"/>
      <c r="G151" s="253"/>
      <c r="H151" s="253"/>
      <c r="I151" s="253"/>
      <c r="J151" s="253"/>
    </row>
    <row r="152" spans="1:10" ht="14.25" customHeight="1">
      <c r="A152" s="111"/>
      <c r="B152" s="111"/>
      <c r="C152" s="253"/>
      <c r="D152" s="253"/>
      <c r="E152" s="253"/>
      <c r="F152" s="253"/>
      <c r="G152" s="253"/>
      <c r="H152" s="253"/>
      <c r="I152" s="253"/>
      <c r="J152" s="253"/>
    </row>
  </sheetData>
  <sheetProtection password="E7B6" sheet="1" formatCells="0" formatRows="0" insertRows="0"/>
  <mergeCells count="107">
    <mergeCell ref="C145:J145"/>
    <mergeCell ref="C146:J146"/>
    <mergeCell ref="C147:J149"/>
    <mergeCell ref="C150:J150"/>
    <mergeCell ref="C151:J152"/>
    <mergeCell ref="D89:J92"/>
    <mergeCell ref="D137:J137"/>
    <mergeCell ref="D138:J138"/>
    <mergeCell ref="D139:J139"/>
    <mergeCell ref="C140:J140"/>
    <mergeCell ref="C141:J142"/>
    <mergeCell ref="A144:J144"/>
    <mergeCell ref="D130:J130"/>
    <mergeCell ref="D131:J131"/>
    <mergeCell ref="D132:J132"/>
    <mergeCell ref="A134:J134"/>
    <mergeCell ref="B135:J135"/>
    <mergeCell ref="C136:J136"/>
    <mergeCell ref="C120:J121"/>
    <mergeCell ref="C122:J123"/>
    <mergeCell ref="D126:J126"/>
    <mergeCell ref="D127:J127"/>
    <mergeCell ref="D128:J128"/>
    <mergeCell ref="D129:J129"/>
    <mergeCell ref="C124:J125"/>
    <mergeCell ref="C111:J111"/>
    <mergeCell ref="A113:J113"/>
    <mergeCell ref="B114:J114"/>
    <mergeCell ref="A116:J116"/>
    <mergeCell ref="B117:J117"/>
    <mergeCell ref="A119:J119"/>
    <mergeCell ref="C102:J104"/>
    <mergeCell ref="D105:J105"/>
    <mergeCell ref="D106:J106"/>
    <mergeCell ref="D107:J107"/>
    <mergeCell ref="C108:J109"/>
    <mergeCell ref="C110:J110"/>
    <mergeCell ref="C95:J95"/>
    <mergeCell ref="C96:J96"/>
    <mergeCell ref="D97:J97"/>
    <mergeCell ref="D98:J98"/>
    <mergeCell ref="D99:J99"/>
    <mergeCell ref="A101:J101"/>
    <mergeCell ref="D85:J85"/>
    <mergeCell ref="D86:J87"/>
    <mergeCell ref="D88:J88"/>
    <mergeCell ref="C93:J93"/>
    <mergeCell ref="C94:J94"/>
    <mergeCell ref="D77:J78"/>
    <mergeCell ref="D79:J79"/>
    <mergeCell ref="D80:J81"/>
    <mergeCell ref="D82:J83"/>
    <mergeCell ref="D84:J84"/>
    <mergeCell ref="A69:J69"/>
    <mergeCell ref="B70:J70"/>
    <mergeCell ref="A72:J72"/>
    <mergeCell ref="B73:J73"/>
    <mergeCell ref="A75:J75"/>
    <mergeCell ref="C76:J76"/>
    <mergeCell ref="D57:J59"/>
    <mergeCell ref="C60:J60"/>
    <mergeCell ref="C61:J64"/>
    <mergeCell ref="C65:J65"/>
    <mergeCell ref="D66:J66"/>
    <mergeCell ref="D67:J67"/>
    <mergeCell ref="A48:J48"/>
    <mergeCell ref="C49:J49"/>
    <mergeCell ref="D50:J50"/>
    <mergeCell ref="C51:J51"/>
    <mergeCell ref="C52:J55"/>
    <mergeCell ref="C56:J56"/>
    <mergeCell ref="D40:F40"/>
    <mergeCell ref="G40:I40"/>
    <mergeCell ref="D41:F41"/>
    <mergeCell ref="G41:I41"/>
    <mergeCell ref="E42:I44"/>
    <mergeCell ref="E45:I46"/>
    <mergeCell ref="D37:F37"/>
    <mergeCell ref="G37:I37"/>
    <mergeCell ref="D38:F38"/>
    <mergeCell ref="G38:I38"/>
    <mergeCell ref="D39:F39"/>
    <mergeCell ref="G39:I39"/>
    <mergeCell ref="A32:J32"/>
    <mergeCell ref="B33:J33"/>
    <mergeCell ref="D35:F35"/>
    <mergeCell ref="G35:I35"/>
    <mergeCell ref="D36:F36"/>
    <mergeCell ref="G36:I36"/>
    <mergeCell ref="D18:G18"/>
    <mergeCell ref="D19:G19"/>
    <mergeCell ref="D20:G21"/>
    <mergeCell ref="D22:G22"/>
    <mergeCell ref="D24:I28"/>
    <mergeCell ref="D29:I30"/>
    <mergeCell ref="B9:J9"/>
    <mergeCell ref="A11:J11"/>
    <mergeCell ref="B12:J13"/>
    <mergeCell ref="A15:J15"/>
    <mergeCell ref="B16:J16"/>
    <mergeCell ref="D17:G17"/>
    <mergeCell ref="A3:J3"/>
    <mergeCell ref="C4:E4"/>
    <mergeCell ref="F4:J4"/>
    <mergeCell ref="C5:J5"/>
    <mergeCell ref="C6:J7"/>
    <mergeCell ref="B8:J8"/>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8"/>
  <sheetViews>
    <sheetView view="pageBreakPreview" zoomScaleNormal="85" zoomScaleSheetLayoutView="100" zoomScalePageLayoutView="0" workbookViewId="0" topLeftCell="A1">
      <selection activeCell="A1" sqref="A1:H1"/>
    </sheetView>
  </sheetViews>
  <sheetFormatPr defaultColWidth="9.00390625" defaultRowHeight="13.5"/>
  <cols>
    <col min="1" max="1" width="10.00390625" style="222" customWidth="1"/>
    <col min="2" max="2" width="13.25390625" style="222" customWidth="1"/>
    <col min="3" max="3" width="36.125" style="222" customWidth="1"/>
    <col min="4" max="4" width="5.00390625" style="222" bestFit="1" customWidth="1"/>
    <col min="5" max="5" width="29.25390625" style="222" customWidth="1"/>
    <col min="6" max="6" width="37.00390625" style="222" customWidth="1"/>
    <col min="7" max="7" width="28.25390625" style="222" customWidth="1"/>
    <col min="8" max="8" width="6.50390625" style="222" customWidth="1"/>
    <col min="9" max="16384" width="9.00390625" style="222" customWidth="1"/>
  </cols>
  <sheetData>
    <row r="1" spans="1:8" ht="13.5">
      <c r="A1" s="274" t="s">
        <v>43</v>
      </c>
      <c r="B1" s="274"/>
      <c r="C1" s="274"/>
      <c r="D1" s="274"/>
      <c r="E1" s="274"/>
      <c r="F1" s="274"/>
      <c r="G1" s="274"/>
      <c r="H1" s="274"/>
    </row>
    <row r="2" spans="1:8" ht="13.5">
      <c r="A2" s="275" t="s">
        <v>44</v>
      </c>
      <c r="B2" s="275"/>
      <c r="C2" s="275"/>
      <c r="D2" s="275"/>
      <c r="E2" s="275"/>
      <c r="F2" s="275"/>
      <c r="G2" s="275"/>
      <c r="H2" s="275"/>
    </row>
    <row r="3" spans="1:8" ht="25.5">
      <c r="A3" s="1" t="s">
        <v>45</v>
      </c>
      <c r="B3" s="1" t="s">
        <v>54</v>
      </c>
      <c r="C3" s="1" t="s">
        <v>55</v>
      </c>
      <c r="D3" s="1" t="s">
        <v>46</v>
      </c>
      <c r="E3" s="1" t="s">
        <v>47</v>
      </c>
      <c r="F3" s="1" t="s">
        <v>100</v>
      </c>
      <c r="G3" s="1" t="s">
        <v>48</v>
      </c>
      <c r="H3" s="1" t="s">
        <v>49</v>
      </c>
    </row>
    <row r="4" spans="1:8" ht="51.75" customHeight="1">
      <c r="A4" s="2" t="s">
        <v>87</v>
      </c>
      <c r="B4" s="3"/>
      <c r="C4" s="4"/>
      <c r="D4" s="5" t="s">
        <v>50</v>
      </c>
      <c r="E4" s="6" t="s">
        <v>98</v>
      </c>
      <c r="F4" s="86"/>
      <c r="G4" s="3"/>
      <c r="H4" s="7"/>
    </row>
    <row r="5" spans="1:8" ht="30" customHeight="1">
      <c r="A5" s="270" t="s">
        <v>101</v>
      </c>
      <c r="B5" s="278" t="s">
        <v>99</v>
      </c>
      <c r="C5" s="101" t="str">
        <f>IF('入力シート'!C32="適用","過去15年間の同種工事の施工実績（※1）","今回工事ではこの項目を適用しません。")</f>
        <v>今回工事ではこの項目を適用しません。</v>
      </c>
      <c r="D5" s="281" t="str">
        <f>IF('入力シート'!C32="適用","１号","不要")</f>
        <v>不要</v>
      </c>
      <c r="E5" s="270">
        <f>IF('入力シート'!C32="適用","平成12年4月1日以降に完成した同種工事の元請としての施工実績を１件記入してください。なお、本市発注工事（※2）での実績がある場合は、それを優先して記入してください。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f>
      </c>
      <c r="F5" s="85">
        <f>IF('入力シート'!C32="適用","施工実績を証明する書類","")</f>
      </c>
      <c r="G5" s="270">
        <f>IF('入力シート'!$C$32="適用","平成12年4月1日以降に完成した本市発注の同種工事の元請としての施工実績がある。","")</f>
      </c>
      <c r="H5" s="272">
        <f>IF('入力シート'!$C$32="適用",4,"")</f>
      </c>
    </row>
    <row r="6" spans="1:8" ht="59.25" customHeight="1">
      <c r="A6" s="276"/>
      <c r="B6" s="279"/>
      <c r="C6" s="276">
        <f>IF('入力シート'!C32="適用","同種工事："&amp;'入力シート'!E32,"")</f>
      </c>
      <c r="D6" s="282"/>
      <c r="E6" s="276"/>
      <c r="F6" s="276">
        <f>IF('入力シート'!C32="適用","(1)公共工事でコリンズ登録のある場合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271"/>
      <c r="H6" s="273"/>
    </row>
    <row r="7" spans="1:8" ht="93" customHeight="1">
      <c r="A7" s="276"/>
      <c r="B7" s="279"/>
      <c r="C7" s="276"/>
      <c r="D7" s="282"/>
      <c r="E7" s="276"/>
      <c r="F7" s="276"/>
      <c r="G7" s="139">
        <f>IF('入力シート'!$C$32="適用","平成12年4月1日以降に完成した本市発注以外の同種工事の元請としての施工実績がある。","")</f>
      </c>
      <c r="H7" s="143">
        <f>IF('入力シート'!$C$32="適用",2,"")</f>
      </c>
    </row>
    <row r="8" spans="1:8" ht="35.25" customHeight="1">
      <c r="A8" s="276"/>
      <c r="B8" s="280"/>
      <c r="C8" s="277"/>
      <c r="D8" s="283"/>
      <c r="E8" s="277"/>
      <c r="F8" s="277"/>
      <c r="G8" s="142">
        <f>IF('入力シート'!$C$32="適用","実績なし","")</f>
      </c>
      <c r="H8" s="145">
        <f>IF('入力シート'!$C$32="適用",0,"")</f>
      </c>
    </row>
    <row r="9" spans="1:8" ht="59.25" customHeight="1">
      <c r="A9" s="276"/>
      <c r="B9" s="284" t="s">
        <v>51</v>
      </c>
      <c r="C9" s="101" t="str">
        <f>IF('入力シート'!C33="適用","過去2年間の同一登録工種工事での工事成績評定点80点以上の回数（※3）","今回工事ではこの項目を適用しません。")</f>
        <v>過去2年間の同一登録工種工事での工事成績評定点80点以上の回数（※3）</v>
      </c>
      <c r="D9" s="281" t="str">
        <f>IF('入力シート'!C33="適用","１号","不要")</f>
        <v>１号</v>
      </c>
      <c r="E9" s="287" t="str">
        <f>IF('入力シート'!C33="適用","平成"&amp;'入力シート'!E54&amp;"年"&amp;'入力シート'!E55&amp;"月1日から、平成"&amp;'入力シート'!E57&amp;"年"&amp;'入力シート'!E58&amp;"月"&amp;'入力シート'!E59&amp;"日までに完成した本件工事と同一登録工種に係る本市発注工事（※2）の工事完成検査結果通知書の評定点が80点以上のものについて記入してください。また内容を証明するための右記資料を添付してください。","")</f>
        <v>平成25年9月1日から、平成27年8月31日までに完成した本件工事と同一登録工種に係る本市発注工事（※2）の工事完成検査結果通知書の評定点が80点以上のものについて記入してください。また内容を証明するための右記資料を添付してください。</v>
      </c>
      <c r="F9" s="290" t="str">
        <f>IF('入力シート'!C33="適用","工事完成検査結果通知書の写し","")</f>
        <v>工事完成検査結果通知書の写し</v>
      </c>
      <c r="G9" s="141"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２件以上ある。","")</f>
        <v>平成25年9月1日から、平成27年8月31日までに完成した本件工事と同一登録工種で評定点80点以上の本市発注工事が２件以上ある。</v>
      </c>
      <c r="H9" s="144">
        <f>IF('入力シート'!$C$33="適用",4,"")</f>
        <v>4</v>
      </c>
    </row>
    <row r="10" spans="1:8" ht="46.5" customHeight="1">
      <c r="A10" s="276"/>
      <c r="B10" s="285"/>
      <c r="C10" s="149" t="str">
        <f>IF('入力シート'!C33="適用","同一登録工種："&amp;'入力シート'!E33,"")</f>
        <v>同一登録工種：ほ装</v>
      </c>
      <c r="D10" s="282"/>
      <c r="E10" s="288"/>
      <c r="F10" s="291"/>
      <c r="G10" s="139"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１件ある。","")</f>
        <v>平成25年9月1日から、平成27年8月31日までに完成した本件工事と同一登録工種で評定点80点以上の本市発注工事が１件ある。</v>
      </c>
      <c r="H10" s="143">
        <f>IF('入力シート'!$C$33="適用",2,"")</f>
        <v>2</v>
      </c>
    </row>
    <row r="11" spans="1:8" ht="29.25" customHeight="1">
      <c r="A11" s="276"/>
      <c r="B11" s="286"/>
      <c r="C11" s="104" t="str">
        <f>IF('入力シート'!C33="適用","過去2年間：開札日の3ヶ月前の月末を最終日とし、その2年前の翌月1日を開始日とする期間","")</f>
        <v>過去2年間：開札日の3ヶ月前の月末を最終日とし、その2年前の翌月1日を開始日とする期間</v>
      </c>
      <c r="D11" s="283"/>
      <c r="E11" s="289"/>
      <c r="F11" s="292"/>
      <c r="G11" s="142" t="str">
        <f>IF('入力シート'!$C$33="適用","該当なし","")</f>
        <v>該当なし</v>
      </c>
      <c r="H11" s="145">
        <f>IF('入力シート'!$C$33="適用",0,"")</f>
        <v>0</v>
      </c>
    </row>
    <row r="12" spans="1:8" ht="54.75" customHeight="1">
      <c r="A12" s="276"/>
      <c r="B12" s="284" t="s">
        <v>119</v>
      </c>
      <c r="C12" s="101" t="str">
        <f>IF('入力シート'!C34="適用","過去5年間の優良工事施工会社表彰の回数（※3）","今回工事ではこの項目を適用しません。")</f>
        <v>過去5年間の優良工事施工会社表彰の回数（※3）</v>
      </c>
      <c r="D12" s="281" t="str">
        <f>IF('入力シート'!C34="適用","１号","不要")</f>
        <v>１号</v>
      </c>
      <c r="E12" s="287" t="str">
        <f>IF('入力シート'!C34="適用","平成22年度以降に、本件工事と同一部門で本市における優良工事施工会社表彰を受けている場合に記入してください。","")</f>
        <v>平成22年度以降に、本件工事と同一部門で本市における優良工事施工会社表彰を受けている場合に記入してください。</v>
      </c>
      <c r="F12" s="293" t="str">
        <f>IF('入力シート'!C34="適用","不要","")</f>
        <v>不要</v>
      </c>
      <c r="G12" s="141" t="str">
        <f>IF('入力シート'!$C$34="適用","平成22年度以降に、本件工事と同一部門で本市における優良工事施工会社表彰を２回以上受けている。","")</f>
        <v>平成22年度以降に、本件工事と同一部門で本市における優良工事施工会社表彰を２回以上受けている。</v>
      </c>
      <c r="H12" s="144">
        <f>IF('入力シート'!$C$34="適用",4,"")</f>
        <v>4</v>
      </c>
    </row>
    <row r="13" spans="1:8" ht="54.75" customHeight="1">
      <c r="A13" s="276"/>
      <c r="B13" s="285"/>
      <c r="C13" s="276" t="str">
        <f>IF('入力シート'!C34="適用","表彰部門："&amp;'入力シート'!E34,"")</f>
        <v>表彰部門：土木（土木・造園）</v>
      </c>
      <c r="D13" s="282"/>
      <c r="E13" s="288"/>
      <c r="F13" s="294"/>
      <c r="G13" s="139" t="str">
        <f>IF('入力シート'!$C$34="適用","平成22年度以降に、本件工事と同一部門で本市における優良工事施工会社表彰を１回受けている。","")</f>
        <v>平成22年度以降に、本件工事と同一部門で本市における優良工事施工会社表彰を１回受けている。</v>
      </c>
      <c r="H13" s="143">
        <f>IF('入力シート'!$C$34="適用",2,"")</f>
        <v>2</v>
      </c>
    </row>
    <row r="14" spans="1:8" ht="19.5" customHeight="1">
      <c r="A14" s="276"/>
      <c r="B14" s="286"/>
      <c r="C14" s="277"/>
      <c r="D14" s="283"/>
      <c r="E14" s="289"/>
      <c r="F14" s="295"/>
      <c r="G14" s="142" t="str">
        <f>IF('入力シート'!$C$34="適用","該当なし","")</f>
        <v>該当なし</v>
      </c>
      <c r="H14" s="145">
        <f>IF('入力シート'!$C$34="適用",0,"")</f>
        <v>0</v>
      </c>
    </row>
    <row r="15" spans="1:8" ht="17.25" customHeight="1">
      <c r="A15" s="276"/>
      <c r="B15" s="278" t="s">
        <v>114</v>
      </c>
      <c r="C15" s="296" t="str">
        <f>IF('入力シート'!C35="適用","配置予定技術者（入札公告に定める技術者）が有する過去15年間の同種工事の施工経験（※1）","今回工事ではこの項目を適用しません。")</f>
        <v>今回工事ではこの項目を適用しません。</v>
      </c>
      <c r="D15" s="281" t="str">
        <f>IF('入力シート'!C35="適用","１号","不要")</f>
        <v>不要</v>
      </c>
      <c r="E15" s="270">
        <f>IF('入力シート'!C35="適用","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
"&amp;""&amp;"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"&amp;"
"&amp;"※必ず、工事名だけでなく、具体的評価項目を満たしていることを証明できる書類を添付してください。","")</f>
      </c>
      <c r="F15" s="85">
        <f>IF('入力シート'!C35="適用","施工経験を証明する書類","")</f>
      </c>
      <c r="G15" s="270">
        <f>IF('入力シート'!$C$35="適用","平成12年4月1日以降に完成した本市発注の同種工事の元請としての施工経験(主任技術者、監理技術者、現場代理人のうち、いずれかの経験)がある。","")</f>
      </c>
      <c r="H15" s="272">
        <f>IF('入力シート'!$C$35="適用",4,"")</f>
      </c>
    </row>
    <row r="16" spans="1:8" ht="66.75" customHeight="1">
      <c r="A16" s="276"/>
      <c r="B16" s="279"/>
      <c r="C16" s="297"/>
      <c r="D16" s="282"/>
      <c r="E16" s="276"/>
      <c r="F16" s="276">
        <f>IF('入力シート'!C35="適用","(1)公共工事でコリンズ登録のある場合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271"/>
      <c r="H16" s="273"/>
    </row>
    <row r="17" spans="1:8" ht="124.5" customHeight="1">
      <c r="A17" s="276"/>
      <c r="B17" s="279"/>
      <c r="C17" s="276">
        <f>IF('入力シート'!C35="適用","同種工事："&amp;'入力シート'!E35,"")</f>
      </c>
      <c r="D17" s="282"/>
      <c r="E17" s="276"/>
      <c r="F17" s="276"/>
      <c r="G17" s="139">
        <f>IF('入力シート'!$C$35="適用","平成12年4月1日以降に完成した本市発注以外の同種工事の元請としての施工経験(主任技術者、監理技術者、現場代理人のうち、いずれかの経験)がある。","")</f>
      </c>
      <c r="H17" s="143">
        <f>IF('入力シート'!$C$35="適用",2,"")</f>
      </c>
    </row>
    <row r="18" spans="1:8" ht="60" customHeight="1">
      <c r="A18" s="276"/>
      <c r="B18" s="279"/>
      <c r="C18" s="276"/>
      <c r="D18" s="282"/>
      <c r="E18" s="276"/>
      <c r="F18" s="276"/>
      <c r="G18" s="298">
        <f>IF('入力シート'!$C$35="適用","該当なし","")</f>
      </c>
      <c r="H18" s="301">
        <f>IF('入力シート'!$C$35="適用",0,"")</f>
      </c>
    </row>
    <row r="19" spans="1:8" ht="14.25" customHeight="1">
      <c r="A19" s="276"/>
      <c r="B19" s="279"/>
      <c r="C19" s="276"/>
      <c r="D19" s="282"/>
      <c r="E19" s="276"/>
      <c r="F19" s="198">
        <f>IF('入力シート'!C35="適用","技術者資格を証明する書類","")</f>
      </c>
      <c r="G19" s="299"/>
      <c r="H19" s="302"/>
    </row>
    <row r="20" spans="1:8" ht="151.5" customHeight="1">
      <c r="A20" s="276"/>
      <c r="B20" s="280"/>
      <c r="C20" s="277"/>
      <c r="D20" s="283"/>
      <c r="E20" s="277"/>
      <c r="F20" s="104">
        <f>IF('入力シート'!C35="適用","(1)監理技術者の場合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資格証明の必要に応じて卒業証明書の写しを添付すること。または経営事項審査申請における技術職員名簿の写しでも可とします（工種に注意のこと）。","")</f>
      </c>
      <c r="G20" s="300"/>
      <c r="H20" s="303"/>
    </row>
    <row r="21" spans="1:8" ht="58.5" customHeight="1">
      <c r="A21" s="276"/>
      <c r="B21" s="284" t="s">
        <v>115</v>
      </c>
      <c r="C21" s="284" t="str">
        <f>IF('入力シート'!C36="適用","配置予定技術者（入札公告に定める技術者）が有する資格","今回工事ではこの項目を適用しません。")</f>
        <v>今回工事ではこの項目を適用しません。</v>
      </c>
      <c r="D21" s="281" t="str">
        <f>IF('入力シート'!C36="適用","１号","不要")</f>
        <v>不要</v>
      </c>
      <c r="E21" s="270">
        <f>IF('入力シート'!C36="適用","配置予定技術者（入札公告に定める技術者（※6））が本件工事と同種の建設業に係る監理技術者資格者証を有している場合は「する」と記入した上で、「☆配置予定技術者氏名等記入欄」に氏名等を記入してください。加点対象となる技術者がいない場合には、「しない」と記載してください。","")</f>
      </c>
      <c r="F21" s="304">
        <f>IF('入力シート'!C36="適用","監理技術者資格者証の写し及び監理技術者講習修了証の写し。","")</f>
      </c>
      <c r="G21" s="141">
        <f>IF('入力シート'!$C$36="適用","監理技術者の配置を必要としない工事において、監理技術者資格者証を有する技術者を配置する。","")</f>
      </c>
      <c r="H21" s="144">
        <f>IF('入力シート'!$C$36="適用",4,"")</f>
      </c>
    </row>
    <row r="22" spans="1:8" ht="66" customHeight="1">
      <c r="A22" s="276"/>
      <c r="B22" s="286"/>
      <c r="C22" s="286"/>
      <c r="D22" s="283"/>
      <c r="E22" s="277"/>
      <c r="F22" s="305"/>
      <c r="G22" s="142">
        <f>IF('入力シート'!$C$36="適用","監理技術者の配置を必要としない工事において、監理技術者資格者証を有する技術者を配置しない。","")</f>
      </c>
      <c r="H22" s="145">
        <f>IF('入力シート'!$C$36="適用",0,"")</f>
      </c>
    </row>
    <row r="23" spans="1:8" ht="62.25" customHeight="1">
      <c r="A23" s="276"/>
      <c r="B23" s="284" t="s">
        <v>120</v>
      </c>
      <c r="C23" s="101" t="str">
        <f>IF('入力シート'!C37="適用","過去5年間の配置予定現場代理人の横浜市優良工事現場責任者表彰の有無","今回工事ではこの項目を適用しません。")</f>
        <v>過去5年間の配置予定現場代理人の横浜市優良工事現場責任者表彰の有無</v>
      </c>
      <c r="D23" s="281" t="str">
        <f>IF('入力シート'!C37="適用","１号","不要")</f>
        <v>１号</v>
      </c>
      <c r="E23" s="270" t="str">
        <f>IF('入力シート'!C37="適用","平成22年度以降に、配置予定現場代理人（※6）が本件工事と同一部門で横浜市優良工事現場責任者表彰を受けている場合は、「☆配置予定現場代理人氏名記入欄」に氏名を1名のみ記入してください。加点対象となる現場代理人がいない場合には、現場代理人氏名記入欄に「該当なし」と記載するか空欄のままにしてください。","")</f>
        <v>平成22年度以降に、配置予定現場代理人（※6）が本件工事と同一部門で横浜市優良工事現場責任者表彰を受けている場合は、「☆配置予定現場代理人氏名記入欄」に氏名を1名のみ記入してください。加点対象となる現場代理人がいない場合には、現場代理人氏名記入欄に「該当なし」と記載するか空欄のままにしてください。</v>
      </c>
      <c r="F23" s="293" t="str">
        <f>IF('入力シート'!C37="適用","不要","")</f>
        <v>不要</v>
      </c>
      <c r="G23" s="141" t="str">
        <f>IF('入力シート'!$C$37="適用","平成22年度以降に、配置予定現場代理人が本件工事と同一部門で横浜市優良工事現場責任者表彰を受けている。","")</f>
        <v>平成22年度以降に、配置予定現場代理人が本件工事と同一部門で横浜市優良工事現場責任者表彰を受けている。</v>
      </c>
      <c r="H23" s="144">
        <f>IF('入力シート'!$C$37="適用",2,"")</f>
        <v>2</v>
      </c>
    </row>
    <row r="24" spans="1:8" ht="40.5" customHeight="1">
      <c r="A24" s="276"/>
      <c r="B24" s="285"/>
      <c r="C24" s="276" t="str">
        <f>IF('入力シート'!C37="適用","表彰部門："&amp;'入力シート'!E37,"")</f>
        <v>表彰部門：土木（土木・造園）</v>
      </c>
      <c r="D24" s="282"/>
      <c r="E24" s="276"/>
      <c r="F24" s="294"/>
      <c r="G24" s="298" t="str">
        <f>IF('入力シート'!$C$37="適用","受けていない。","")</f>
        <v>受けていない。</v>
      </c>
      <c r="H24" s="301">
        <f>IF('入力シート'!$C$37="適用",0,"")</f>
        <v>0</v>
      </c>
    </row>
    <row r="25" spans="1:8" ht="12.75" customHeight="1">
      <c r="A25" s="276"/>
      <c r="B25" s="286"/>
      <c r="C25" s="277"/>
      <c r="D25" s="283"/>
      <c r="E25" s="277"/>
      <c r="F25" s="295"/>
      <c r="G25" s="300"/>
      <c r="H25" s="303"/>
    </row>
    <row r="26" spans="1:8" s="134" customFormat="1" ht="70.5" customHeight="1">
      <c r="A26" s="276"/>
      <c r="B26" s="296" t="s">
        <v>247</v>
      </c>
      <c r="C26" s="296" t="str">
        <f>IF('入力シート'!C38="適用","若手技術者の配置・専任指導技術者の実績（※6）","今回工事ではこの項目を適用しません。")</f>
        <v>今回工事ではこの項目を適用しません。</v>
      </c>
      <c r="D26" s="307" t="str">
        <f>IF('入力シート'!C38="適用","１号","不要")</f>
        <v>不要</v>
      </c>
      <c r="E26" s="270">
        <f>IF('入力シート'!C38="適用","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f>
      </c>
      <c r="F26" s="310">
        <f>IF('入力シート'!C38="適用","(1)監理技術者の場合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f>
      </c>
      <c r="G26" s="221">
        <f>IF('入力シート'!$C$38="適用","入札公告で定める技術者に若手技術者を配置する。なお、専任指導技術者を追加配置する場合、以下①、②についても、該当する評価項目が「適用」である限りにおいて、評価できるものとします。","")</f>
      </c>
      <c r="H26" s="151">
        <f>IF('入力シート'!$C$38="適用",1,"")</f>
      </c>
    </row>
    <row r="27" spans="1:8" s="134" customFormat="1" ht="98.25" customHeight="1">
      <c r="A27" s="276"/>
      <c r="B27" s="297"/>
      <c r="C27" s="297"/>
      <c r="D27" s="308"/>
      <c r="E27" s="276"/>
      <c r="F27" s="311"/>
      <c r="G27" s="153">
        <f>IF('入力シート'!$C$38="適用","入札公告で定める技術者に若手技術者を配置しない。","")</f>
      </c>
      <c r="H27" s="145">
        <f>IF('入力シート'!$C$38="適用","0","")</f>
      </c>
    </row>
    <row r="28" spans="1:8" s="134" customFormat="1" ht="60" customHeight="1">
      <c r="A28" s="276"/>
      <c r="B28" s="297"/>
      <c r="C28" s="147">
        <f>IF('入力シート'!C38="適用","若手技術者：入札公告で定める技術者で評価の基準日（入札期間の最終日）において満年齢40歳未満の者。","")</f>
      </c>
      <c r="D28" s="308"/>
      <c r="E28" s="270">
        <f>IF(AND('入力シート'!C38="適用",OR('入力シート'!C35="適用",'入力シート'!C36="適用",'入力シート'!C37="適用")),"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f>
      </c>
      <c r="F28" s="310">
        <f>IF(AND('入力シート'!C38="適用",OR('入力シート'!C35="適用",'入力シート'!C36="適用",'入力シート'!C37="適用")),"専任指導技術者の所有する実績等での申告に関しては、該当する評価項目の「添付資料」に従ってください。","")</f>
      </c>
      <c r="G28" s="149">
        <f>IF('入力シート'!$C$38="適用","①評価項目「配置予定技術者の施工経験」・「配置予定技術者の資格」が「適用」であれば、専任指導技術者の所有する実績等でも評価できるものとします。（※9)","")</f>
      </c>
      <c r="H28" s="272">
        <f>IF('入力シート'!$C$38="適用","該当する評価項目の配点による。","")</f>
      </c>
    </row>
    <row r="29" spans="1:8" s="134" customFormat="1" ht="79.5" customHeight="1">
      <c r="A29" s="276"/>
      <c r="B29" s="306"/>
      <c r="C29" s="102">
        <f>IF('入力シート'!C38="適用","専任指導技術者：若手技術者を指導補助できる経験豊富な者。入札公告で定める技術者と同じ要件を所有している必要はありません。（※8）","")</f>
      </c>
      <c r="D29" s="309"/>
      <c r="E29" s="277"/>
      <c r="F29" s="311"/>
      <c r="G29" s="104">
        <f>IF('入力シート'!$C$38="適用","②評価項目「配置予定現場代理人の横浜市優良工事表彰現場責任者表彰の実績」が「適用」であれば、若手技術者が配置予定現場代理人と兼務の場合は専任指導技術者の所有する実績等でも評価できるものとします。（※9)","")</f>
      </c>
      <c r="H29" s="303"/>
    </row>
    <row r="30" spans="1:8" ht="40.5" customHeight="1">
      <c r="A30" s="276"/>
      <c r="B30" s="284" t="s">
        <v>52</v>
      </c>
      <c r="C30" s="284" t="str">
        <f>IF('入力シート'!C39="適用","品質管理マネジメントシステム(ISO9001)の取得の有無","今回工事ではこの項目を適用しません。")</f>
        <v>品質管理マネジメントシステム(ISO9001)の取得の有無</v>
      </c>
      <c r="D30" s="281" t="str">
        <f>IF('入力シート'!C39="適用","１号","不要")</f>
        <v>１号</v>
      </c>
      <c r="E30" s="270" t="str">
        <f>IF('入力シート'!C39="適用","評価の基準日（入札期間の最終日）時点で有効なISO9001を横浜市内の事業所を含む範囲で登録している場合に記入してください。またその内容を証明するために右記資料を添付してください。","")</f>
        <v>評価の基準日（入札期間の最終日）時点で有効なISO9001を横浜市内の事業所を含む範囲で登録している場合に記入してください。またその内容を証明するために右記資料を添付してください。</v>
      </c>
      <c r="F30" s="290" t="str">
        <f>IF('入力シート'!C39="適用","登録証の写し及び登録範囲が証明できる付属書等の写し","")</f>
        <v>登録証の写し及び登録範囲が証明できる付属書等の写し</v>
      </c>
      <c r="G30" s="141" t="str">
        <f>IF('入力シート'!$C$39="適用","ISO9001を横浜市内の事業所を含む範囲で登録している。","")</f>
        <v>ISO9001を横浜市内の事業所を含む範囲で登録している。</v>
      </c>
      <c r="H30" s="144">
        <f>IF('入力シート'!$C$39="適用",2,"")</f>
        <v>2</v>
      </c>
    </row>
    <row r="31" spans="1:8" ht="41.25" customHeight="1">
      <c r="A31" s="276"/>
      <c r="B31" s="286"/>
      <c r="C31" s="286"/>
      <c r="D31" s="283"/>
      <c r="E31" s="277"/>
      <c r="F31" s="292"/>
      <c r="G31" s="142" t="str">
        <f>IF('入力シート'!$C$39="適用","登録していない。","")</f>
        <v>登録していない。</v>
      </c>
      <c r="H31" s="145">
        <f>IF('入力シート'!$C$39="適用",0,"")</f>
        <v>0</v>
      </c>
    </row>
    <row r="32" spans="1:8" ht="21.75" customHeight="1">
      <c r="A32" s="276"/>
      <c r="B32" s="296" t="s">
        <v>228</v>
      </c>
      <c r="C32" s="296" t="str">
        <f>IF('入力シート'!C48="適用","個別に設定","今回工事ではこの項目を適用しません。")</f>
        <v>今回工事ではこの項目を適用しません。</v>
      </c>
      <c r="D32" s="281"/>
      <c r="E32" s="312"/>
      <c r="F32" s="293"/>
      <c r="G32" s="141"/>
      <c r="H32" s="144">
        <f>IF('入力シート'!$C$48="適用",1,"")</f>
      </c>
    </row>
    <row r="33" spans="1:8" ht="21.75" customHeight="1">
      <c r="A33" s="277"/>
      <c r="B33" s="306"/>
      <c r="C33" s="306"/>
      <c r="D33" s="283"/>
      <c r="E33" s="313"/>
      <c r="F33" s="295"/>
      <c r="G33" s="142"/>
      <c r="H33" s="145">
        <f>IF('入力シート'!$C$48="適用",0,"")</f>
      </c>
    </row>
    <row r="34" spans="1:8" ht="43.5" customHeight="1">
      <c r="A34" s="270" t="s">
        <v>116</v>
      </c>
      <c r="B34" s="284" t="s">
        <v>237</v>
      </c>
      <c r="C34" s="101" t="str">
        <f>IF('入力シート'!C40="適用","建設業の許可における主たる営業所の所在地と工事施工場所の位置関係","今回工事ではこの項目を適用しません。")</f>
        <v>建設業の許可における主たる営業所の所在地と工事施工場所の位置関係</v>
      </c>
      <c r="D34" s="281" t="str">
        <f>IF('入力シート'!C40="適用","１号","不要")</f>
        <v>１号</v>
      </c>
      <c r="E34" s="270" t="str">
        <f>IF('入力シート'!C40="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34" s="290" t="str">
        <f>IF('入力シート'!C40="適用","主たる営業所の所在地を証明する書類（建設業の許可通知書の写し等）","")</f>
        <v>主たる営業所の所在地を証明する書類（建設業の許可通知書の写し等）</v>
      </c>
      <c r="G34" s="141" t="str">
        <f>IF('入力シート'!$C$40="適用","工事施工場所と同一行政区内に建設業の許可における主たる営業所がある。","")</f>
        <v>工事施工場所と同一行政区内に建設業の許可における主たる営業所がある。</v>
      </c>
      <c r="H34" s="144">
        <f>IF('入力シート'!$C$40="適用",IF('入力シート'!$C$41="適用",4,2),"")</f>
        <v>4</v>
      </c>
    </row>
    <row r="35" spans="1:8" ht="54.75" customHeight="1">
      <c r="A35" s="276"/>
      <c r="B35" s="286"/>
      <c r="C35" s="103" t="str">
        <f>IF('入力シート'!C40="適用","本項目における工事施工場所："&amp;'入力シート'!E40,"")</f>
        <v>本項目における工事施工場所：鶴見区</v>
      </c>
      <c r="D35" s="283"/>
      <c r="E35" s="277"/>
      <c r="F35" s="292"/>
      <c r="G35" s="142" t="str">
        <f>IF('入力シート'!$C$40="適用","上記以外","")</f>
        <v>上記以外</v>
      </c>
      <c r="H35" s="145">
        <f>IF('入力シート'!$C$40="適用",0,"")</f>
        <v>0</v>
      </c>
    </row>
    <row r="36" spans="1:8" ht="38.25" customHeight="1">
      <c r="A36" s="276"/>
      <c r="B36" s="284" t="s">
        <v>235</v>
      </c>
      <c r="C36" s="284" t="str">
        <f>IF('入力シート'!C42="適用","横浜市災害協力事業者名簿登載の有無","今回工事ではこの項目を適用しません。")</f>
        <v>横浜市災害協力事業者名簿登載の有無</v>
      </c>
      <c r="D36" s="281" t="str">
        <f>IF('入力シート'!C42="適用","１号","不要")</f>
        <v>１号</v>
      </c>
      <c r="E36" s="270" t="str">
        <f>IF('入力シート'!C42="適用","入札公告日時点における最新の横浜市災害協力事業者名簿の登載の有無を記入してください。","")</f>
        <v>入札公告日時点における最新の横浜市災害協力事業者名簿の登載の有無を記入してください。</v>
      </c>
      <c r="F36" s="293" t="str">
        <f>IF('入力シート'!C42="適用","不要","")</f>
        <v>不要</v>
      </c>
      <c r="G36" s="141" t="str">
        <f>IF('入力シート'!$C$42="適用","入札公告日時点における最新の横浜市災害協力事業者名簿に登載がある。","")</f>
        <v>入札公告日時点における最新の横浜市災害協力事業者名簿に登載がある。</v>
      </c>
      <c r="H36" s="144">
        <f>IF('入力シート'!$C$42="適用",2,"")</f>
        <v>2</v>
      </c>
    </row>
    <row r="37" spans="1:8" ht="38.25" customHeight="1">
      <c r="A37" s="276"/>
      <c r="B37" s="286"/>
      <c r="C37" s="286"/>
      <c r="D37" s="283"/>
      <c r="E37" s="277"/>
      <c r="F37" s="295"/>
      <c r="G37" s="142" t="str">
        <f>IF('入力シート'!$C$42="適用","入札公告日時点における最新の横浜市災害協力事業者名簿に登載がない。","")</f>
        <v>入札公告日時点における最新の横浜市災害協力事業者名簿に登載がない。</v>
      </c>
      <c r="H37" s="145">
        <f>IF('入力シート'!$C$42="適用",0,"")</f>
        <v>0</v>
      </c>
    </row>
    <row r="38" spans="1:8" ht="38.25" customHeight="1">
      <c r="A38" s="276"/>
      <c r="B38" s="284" t="s">
        <v>236</v>
      </c>
      <c r="C38" s="284" t="str">
        <f>IF('入力シート'!C43="適用","環境マネジメントシステム(ISO14001)の取得の有無","今回工事ではこの項目を適用しません。")</f>
        <v>今回工事ではこの項目を適用しません。</v>
      </c>
      <c r="D38" s="281" t="str">
        <f>IF('入力シート'!C43="適用","１号","不要")</f>
        <v>不要</v>
      </c>
      <c r="E38" s="270">
        <f>IF('入力シート'!C43="適用","評価の基準日（入札期間の最終日）時点で有効なISO14001を横浜市内の事業所を含む範囲で登録している場合に記入してください。またその内容を証明するために右記資料を添付してください。","")</f>
      </c>
      <c r="F38" s="290">
        <f>IF('入力シート'!C43="適用","登録証の写し及び登録範囲が証明できる付属書等の写し","")</f>
      </c>
      <c r="G38" s="141">
        <f>IF('入力シート'!$C$43="適用","ISO14001を横浜市内の事業所を含む範囲で登録している。","")</f>
      </c>
      <c r="H38" s="144">
        <f>IF('入力シート'!$C$43="適用",2,"")</f>
      </c>
    </row>
    <row r="39" spans="1:8" ht="24.75" customHeight="1">
      <c r="A39" s="276"/>
      <c r="B39" s="286"/>
      <c r="C39" s="286"/>
      <c r="D39" s="283"/>
      <c r="E39" s="277"/>
      <c r="F39" s="292"/>
      <c r="G39" s="142">
        <f>IF('入力シート'!$C$43="適用","登録していない。","")</f>
      </c>
      <c r="H39" s="145">
        <f>IF('入力シート'!$C$43="適用",0,"")</f>
      </c>
    </row>
    <row r="40" spans="1:8" s="134" customFormat="1" ht="45.75" customHeight="1">
      <c r="A40" s="276"/>
      <c r="B40" s="296" t="s">
        <v>232</v>
      </c>
      <c r="C40" s="101" t="str">
        <f>IF('入力シート'!C44="適用","本工事における市内中小企業の活用状況（※7）","今回工事ではこの項目を適用しません。")</f>
        <v>今回工事ではこの項目を適用しません。</v>
      </c>
      <c r="D40" s="307" t="str">
        <f>IF('入力シート'!C44="適用","１号","不要")</f>
        <v>不要</v>
      </c>
      <c r="E40" s="270">
        <f>IF('入力シート'!C44="適用","本工事における下請負契約（一次）のうち、市内中小企業への発注割合の目標値を記入してください。なお、労務を伴うもののみを対象とします。","")</f>
      </c>
      <c r="F40" s="290">
        <f>IF('入力シート'!C44="適用","技術資料提出時には不要（工事完成時に発注割合を確認します）。（※7）","")</f>
      </c>
      <c r="G40" s="141">
        <f>IF('入力シート'!$C$44="適用","市内中小企業の活用目標値が"&amp;'入力シート'!$E$44&amp;"％以上である。","")</f>
      </c>
      <c r="H40" s="144">
        <f>IF('入力シート'!$C$44="適用",4,"")</f>
      </c>
    </row>
    <row r="41" spans="1:8" s="134" customFormat="1" ht="46.5" customHeight="1">
      <c r="A41" s="276"/>
      <c r="B41" s="297"/>
      <c r="C41" s="297">
        <f>IF('入力シート'!C44="適用","市内中小企業：次の①及び②を同時に満たす企業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1" s="308"/>
      <c r="E41" s="276"/>
      <c r="F41" s="291"/>
      <c r="G41" s="139">
        <f>IF('入力シート'!$C$44="適用","市内中小企業の活用目標値が"&amp;'入力シート'!$E$45&amp;"％以上"&amp;'入力シート'!$E$44&amp;"％未満である。","")</f>
      </c>
      <c r="H41" s="143">
        <f>IF('入力シート'!$C$44="適用",2,"")</f>
      </c>
    </row>
    <row r="42" spans="1:8" s="134" customFormat="1" ht="51" customHeight="1">
      <c r="A42" s="276"/>
      <c r="B42" s="306"/>
      <c r="C42" s="306"/>
      <c r="D42" s="309"/>
      <c r="E42" s="104">
        <f>IF('入力シート'!C44="適用","市内中小企業の活用目標値＝［市内中小企業への一次下請金額］÷［一次下請全体額］…小数点以下切捨て","")</f>
      </c>
      <c r="F42" s="292"/>
      <c r="G42" s="142">
        <f>IF('入力シート'!$C$44="適用","市内中小企業の活用目標値が"&amp;'入力シート'!$E$45&amp;"％未満である。又は無記入である。","")</f>
      </c>
      <c r="H42" s="145">
        <f>IF('入力シート'!$C$44="適用",0,"")</f>
      </c>
    </row>
    <row r="43" spans="1:8" s="134" customFormat="1" ht="37.5" customHeight="1">
      <c r="A43" s="276"/>
      <c r="B43" s="296" t="s">
        <v>225</v>
      </c>
      <c r="C43" s="284" t="str">
        <f>IF('入力シート'!C46="適用","横浜型地域貢献企業の認定状況","今回工事ではこの項目を適用しません。")</f>
        <v>横浜型地域貢献企業の認定状況</v>
      </c>
      <c r="D43" s="307" t="str">
        <f>IF('入力シート'!C46="適用","１号","不要")</f>
        <v>１号</v>
      </c>
      <c r="E43" s="270" t="str">
        <f>IF('入力シート'!C46="適用","(公財)横浜企業経営支援財団の横浜型地域貢献企業の認定の有無を記入して下さい。","")</f>
        <v>(公財)横浜企業経営支援財団の横浜型地域貢献企業の認定の有無を記入して下さい。</v>
      </c>
      <c r="F43" s="304" t="str">
        <f>IF('入力シート'!C46="適用","入札期間の最終日時点で有効な「横浜型地域貢献企業」認定証の写し（認定証の交付を受ける前においては、横浜型地域貢献企業の認定審査結果に係る通知書の写しでも可）","")</f>
        <v>入札期間の最終日時点で有効な「横浜型地域貢献企業」認定証の写し（認定証の交付を受ける前においては、横浜型地域貢献企業の認定審査結果に係る通知書の写しでも可）</v>
      </c>
      <c r="G43" s="141" t="str">
        <f>IF('入力シート'!$C$46="適用","横浜型地域貢献企業に認定されている。","")</f>
        <v>横浜型地域貢献企業に認定されている。</v>
      </c>
      <c r="H43" s="144">
        <f>IF('入力シート'!$C$46="適用",1,"")</f>
        <v>1</v>
      </c>
    </row>
    <row r="44" spans="1:8" s="134" customFormat="1" ht="26.25" customHeight="1">
      <c r="A44" s="276"/>
      <c r="B44" s="306"/>
      <c r="C44" s="286"/>
      <c r="D44" s="309"/>
      <c r="E44" s="277"/>
      <c r="F44" s="305"/>
      <c r="G44" s="142" t="str">
        <f>IF('入力シート'!$C$46="適用","認定されていない。","")</f>
        <v>認定されていない。</v>
      </c>
      <c r="H44" s="145">
        <f>IF('入力シート'!$C$46="適用",0,"")</f>
        <v>0</v>
      </c>
    </row>
    <row r="45" spans="1:8" s="134" customFormat="1" ht="28.5" customHeight="1">
      <c r="A45" s="276"/>
      <c r="B45" s="296" t="s">
        <v>231</v>
      </c>
      <c r="C45" s="101" t="str">
        <f>IF('入力シート'!C47="適用","建設機械の保有状況","今回工事ではこの項目を適用しません。")</f>
        <v>建設機械の保有状況</v>
      </c>
      <c r="D45" s="307" t="str">
        <f>IF('入力シート'!C47="適用","１号","不要")</f>
        <v>１号</v>
      </c>
      <c r="E45" s="270" t="str">
        <f>IF('入力シート'!C47="適用","評価の基準日（入札期間の最終日）時点で保有している建設機械を1台のみ記入してください。保有していない場合には、記入、添付共に不要です。","")</f>
        <v>評価の基準日（入札期間の最終日）時点で保有している建設機械を1台のみ記入してください。保有していない場合には、記入、添付共に不要です。</v>
      </c>
      <c r="F45" s="304" t="str">
        <f>IF('入力シート'!C47="適用","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f>
        <v>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v>
      </c>
      <c r="G45" s="270" t="str">
        <f>IF('入力シート'!$C$47="適用","所有している又は長期（1年以上）の賃貸借契約中である。","")</f>
        <v>所有している又は長期（1年以上）の賃貸借契約中である。</v>
      </c>
      <c r="H45" s="272">
        <f>IF('入力シート'!$C$47="適用",1,"")</f>
        <v>1</v>
      </c>
    </row>
    <row r="46" spans="1:8" s="134" customFormat="1" ht="67.5" customHeight="1">
      <c r="A46" s="276"/>
      <c r="B46" s="297"/>
      <c r="C46" s="147" t="str">
        <f>IF('入力シート'!C47="適用","評価対象とする建設機械：ブルドーザー、ドーザーショベル、掘削機、モーターグレーダー、トラッククレーン、クローラークレーン、油圧式クレーン、クレーン付きトラック、タイヤショベル、振動ローラ、大型ダンプ車","")</f>
        <v>評価対象とする建設機械：ブルドーザー、ドーザーショベル、掘削機、モーターグレーダー、トラッククレーン、クローラークレーン、油圧式クレーン、クレーン付きトラック、タイヤショベル、振動ローラ、大型ダンプ車</v>
      </c>
      <c r="D46" s="308"/>
      <c r="E46" s="276"/>
      <c r="F46" s="316"/>
      <c r="G46" s="271"/>
      <c r="H46" s="273"/>
    </row>
    <row r="47" spans="1:8" s="134" customFormat="1" ht="73.5" customHeight="1">
      <c r="A47" s="276"/>
      <c r="B47" s="306"/>
      <c r="C47" s="102" t="str">
        <f>IF('入力シート'!C47="適用","大型ダンプ車は、車両総重量８ｔ以上又は最大積載量５ｔ以上で、「土砂等を運搬する大型自動車による交通事故の防止等に関する特別措置法」に基づく、建設業用としての表示番号の指定を受けているものに限ります。","")</f>
        <v>大型ダンプ車は、車両総重量８ｔ以上又は最大積載量５ｔ以上で、「土砂等を運搬する大型自動車による交通事故の防止等に関する特別措置法」に基づく、建設業用としての表示番号の指定を受けているものに限ります。</v>
      </c>
      <c r="D47" s="309"/>
      <c r="E47" s="277"/>
      <c r="F47" s="305"/>
      <c r="G47" s="142" t="str">
        <f>IF('入力シート'!$C$47="適用","上記以外","")</f>
        <v>上記以外</v>
      </c>
      <c r="H47" s="145">
        <f>IF('入力シート'!$C$47="適用",0,"")</f>
        <v>0</v>
      </c>
    </row>
    <row r="48" spans="1:8" s="134" customFormat="1" ht="17.25" customHeight="1">
      <c r="A48" s="276"/>
      <c r="B48" s="296" t="s">
        <v>229</v>
      </c>
      <c r="C48" s="296" t="str">
        <f>IF('入力シート'!C49="適用","個別に設定","今回工事ではこの項目を適用しません。")</f>
        <v>今回工事ではこの項目を適用しません。</v>
      </c>
      <c r="D48" s="307"/>
      <c r="E48" s="318"/>
      <c r="F48" s="320"/>
      <c r="G48" s="146"/>
      <c r="H48" s="144">
        <f>IF('入力シート'!$C$49="適用",1,"")</f>
      </c>
    </row>
    <row r="49" spans="1:8" s="134" customFormat="1" ht="17.25" customHeight="1">
      <c r="A49" s="277"/>
      <c r="B49" s="306"/>
      <c r="C49" s="306"/>
      <c r="D49" s="309"/>
      <c r="E49" s="319"/>
      <c r="F49" s="321"/>
      <c r="G49" s="140"/>
      <c r="H49" s="145">
        <f>IF('入力シート'!$C$49="適用",0,"")</f>
      </c>
    </row>
    <row r="50" spans="1:8" s="134" customFormat="1" ht="19.5" customHeight="1">
      <c r="A50" s="322" t="s">
        <v>243</v>
      </c>
      <c r="B50" s="323"/>
      <c r="C50" s="296" t="str">
        <f>IF('入力シート'!C50="適用","本工事における低入札価格での入札状況","今回工事ではこの項目を適用しません。")</f>
        <v>本工事における低入札価格での入札状況</v>
      </c>
      <c r="D50" s="326"/>
      <c r="E50" s="328"/>
      <c r="F50" s="314"/>
      <c r="G50" s="141" t="str">
        <f>IF('入力シート'!$C$50="適用","入札価格が調査基準価格を下回る。","")</f>
        <v>入札価格が調査基準価格を下回る。</v>
      </c>
      <c r="H50" s="144">
        <f>IF('入力シート'!$C$50="適用",-5,"")</f>
        <v>-5</v>
      </c>
    </row>
    <row r="51" spans="1:8" s="134" customFormat="1" ht="17.25" customHeight="1">
      <c r="A51" s="324"/>
      <c r="B51" s="325"/>
      <c r="C51" s="306"/>
      <c r="D51" s="327"/>
      <c r="E51" s="329"/>
      <c r="F51" s="315"/>
      <c r="G51" s="142" t="str">
        <f>IF('入力シート'!$C$50="適用","下回らない。","")</f>
        <v>下回らない。</v>
      </c>
      <c r="H51" s="145">
        <f>IF('入力シート'!$C$50="適用",0,"")</f>
        <v>0</v>
      </c>
    </row>
    <row r="52" spans="1:8" ht="13.5">
      <c r="A52" s="333" t="s">
        <v>53</v>
      </c>
      <c r="B52" s="333"/>
      <c r="C52" s="333"/>
      <c r="D52" s="333"/>
      <c r="E52" s="333"/>
      <c r="F52" s="333"/>
      <c r="G52" s="333"/>
      <c r="H52" s="8">
        <f>SUM(H5,H9,H12,H15,H21,H23,H26,H30,H34,H32,H36,H38,H40,H43,H45,H48)</f>
        <v>20</v>
      </c>
    </row>
    <row r="53" ht="4.5" customHeight="1"/>
    <row r="54" spans="1:8" s="136" customFormat="1" ht="18.75" customHeight="1">
      <c r="A54" s="135" t="s">
        <v>150</v>
      </c>
      <c r="B54" s="317" t="s">
        <v>215</v>
      </c>
      <c r="C54" s="317"/>
      <c r="D54" s="317"/>
      <c r="E54" s="317"/>
      <c r="F54" s="317"/>
      <c r="G54" s="317"/>
      <c r="H54" s="317"/>
    </row>
    <row r="55" spans="1:8" s="136" customFormat="1" ht="18.75" customHeight="1">
      <c r="A55" s="135" t="s">
        <v>152</v>
      </c>
      <c r="B55" s="330" t="s">
        <v>326</v>
      </c>
      <c r="C55" s="330"/>
      <c r="D55" s="330"/>
      <c r="E55" s="330"/>
      <c r="F55" s="330"/>
      <c r="G55" s="330"/>
      <c r="H55" s="330"/>
    </row>
    <row r="56" spans="1:8" s="136" customFormat="1" ht="18.75" customHeight="1">
      <c r="A56" s="135" t="s">
        <v>216</v>
      </c>
      <c r="B56" s="330" t="s">
        <v>217</v>
      </c>
      <c r="C56" s="330"/>
      <c r="D56" s="330"/>
      <c r="E56" s="330"/>
      <c r="F56" s="330"/>
      <c r="G56" s="330"/>
      <c r="H56" s="330"/>
    </row>
    <row r="57" spans="1:8" s="136" customFormat="1" ht="18.75" customHeight="1">
      <c r="A57" s="135" t="s">
        <v>218</v>
      </c>
      <c r="B57" s="317" t="s">
        <v>219</v>
      </c>
      <c r="C57" s="330"/>
      <c r="D57" s="330"/>
      <c r="E57" s="330"/>
      <c r="F57" s="330"/>
      <c r="G57" s="330"/>
      <c r="H57" s="330"/>
    </row>
    <row r="58" spans="1:8" s="136" customFormat="1" ht="18.75" customHeight="1">
      <c r="A58" s="135"/>
      <c r="B58" s="330"/>
      <c r="C58" s="330"/>
      <c r="D58" s="330"/>
      <c r="E58" s="330"/>
      <c r="F58" s="330"/>
      <c r="G58" s="330"/>
      <c r="H58" s="330"/>
    </row>
    <row r="59" spans="1:8" s="136" customFormat="1" ht="9.75" customHeight="1">
      <c r="A59" s="135"/>
      <c r="B59" s="330"/>
      <c r="C59" s="330"/>
      <c r="D59" s="330"/>
      <c r="E59" s="330"/>
      <c r="F59" s="330"/>
      <c r="G59" s="330"/>
      <c r="H59" s="330"/>
    </row>
    <row r="60" spans="1:8" s="136" customFormat="1" ht="18.75" customHeight="1">
      <c r="A60" s="135" t="s">
        <v>220</v>
      </c>
      <c r="B60" s="317" t="s">
        <v>221</v>
      </c>
      <c r="C60" s="317"/>
      <c r="D60" s="317"/>
      <c r="E60" s="317"/>
      <c r="F60" s="317"/>
      <c r="G60" s="317"/>
      <c r="H60" s="317"/>
    </row>
    <row r="61" spans="1:8" s="136" customFormat="1" ht="18.75" customHeight="1">
      <c r="A61" s="135" t="s">
        <v>222</v>
      </c>
      <c r="B61" s="317" t="s">
        <v>223</v>
      </c>
      <c r="C61" s="317"/>
      <c r="D61" s="317"/>
      <c r="E61" s="317"/>
      <c r="F61" s="317"/>
      <c r="G61" s="317"/>
      <c r="H61" s="317"/>
    </row>
    <row r="62" spans="1:8" s="134" customFormat="1" ht="18.75" customHeight="1">
      <c r="A62" s="135" t="s">
        <v>224</v>
      </c>
      <c r="B62" s="317" t="s">
        <v>251</v>
      </c>
      <c r="C62" s="330"/>
      <c r="D62" s="330"/>
      <c r="E62" s="330"/>
      <c r="F62" s="330"/>
      <c r="G62" s="330"/>
      <c r="H62" s="330"/>
    </row>
    <row r="63" spans="1:8" s="134" customFormat="1" ht="18.75" customHeight="1">
      <c r="A63" s="135"/>
      <c r="B63" s="330"/>
      <c r="C63" s="330"/>
      <c r="D63" s="330"/>
      <c r="E63" s="330"/>
      <c r="F63" s="330"/>
      <c r="G63" s="330"/>
      <c r="H63" s="330"/>
    </row>
    <row r="64" spans="1:8" s="134" customFormat="1" ht="18.75" customHeight="1">
      <c r="A64" s="135" t="s">
        <v>290</v>
      </c>
      <c r="B64" s="317" t="s">
        <v>327</v>
      </c>
      <c r="C64" s="317"/>
      <c r="D64" s="317"/>
      <c r="E64" s="317"/>
      <c r="F64" s="317"/>
      <c r="G64" s="317"/>
      <c r="H64" s="317"/>
    </row>
    <row r="65" spans="1:8" s="134" customFormat="1" ht="18.75" customHeight="1">
      <c r="A65" s="135"/>
      <c r="B65" s="317"/>
      <c r="C65" s="317"/>
      <c r="D65" s="317"/>
      <c r="E65" s="317"/>
      <c r="F65" s="317"/>
      <c r="G65" s="317"/>
      <c r="H65" s="317"/>
    </row>
    <row r="66" spans="1:8" s="134" customFormat="1" ht="18.75" customHeight="1">
      <c r="A66" s="135"/>
      <c r="B66" s="317"/>
      <c r="C66" s="317"/>
      <c r="D66" s="317"/>
      <c r="E66" s="317"/>
      <c r="F66" s="317"/>
      <c r="G66" s="317"/>
      <c r="H66" s="317"/>
    </row>
    <row r="67" spans="1:8" s="134" customFormat="1" ht="18.75" customHeight="1">
      <c r="A67" s="135" t="s">
        <v>291</v>
      </c>
      <c r="B67" s="317" t="s">
        <v>292</v>
      </c>
      <c r="C67" s="317"/>
      <c r="D67" s="317"/>
      <c r="E67" s="317"/>
      <c r="F67" s="317"/>
      <c r="G67" s="317"/>
      <c r="H67" s="317"/>
    </row>
    <row r="68" spans="1:8" ht="7.5" customHeight="1">
      <c r="A68" s="331"/>
      <c r="B68" s="332"/>
      <c r="C68" s="332"/>
      <c r="D68" s="332"/>
      <c r="E68" s="332"/>
      <c r="F68" s="332"/>
      <c r="G68" s="332"/>
      <c r="H68" s="332"/>
    </row>
  </sheetData>
  <sheetProtection password="E7B6" sheet="1" formatCells="0" formatRows="0" insertRows="0"/>
  <mergeCells count="111">
    <mergeCell ref="B61:H61"/>
    <mergeCell ref="B62:H63"/>
    <mergeCell ref="B64:H66"/>
    <mergeCell ref="B67:H67"/>
    <mergeCell ref="A68:H68"/>
    <mergeCell ref="A52:G52"/>
    <mergeCell ref="B54:H54"/>
    <mergeCell ref="B55:H55"/>
    <mergeCell ref="B56:H56"/>
    <mergeCell ref="B57:H59"/>
    <mergeCell ref="B60:H60"/>
    <mergeCell ref="B48:B49"/>
    <mergeCell ref="C48:C49"/>
    <mergeCell ref="D48:D49"/>
    <mergeCell ref="E48:E49"/>
    <mergeCell ref="F48:F49"/>
    <mergeCell ref="A50:B51"/>
    <mergeCell ref="C50:C51"/>
    <mergeCell ref="D50:D51"/>
    <mergeCell ref="E50:E51"/>
    <mergeCell ref="F50:F51"/>
    <mergeCell ref="B43:B44"/>
    <mergeCell ref="C43:C44"/>
    <mergeCell ref="D43:D44"/>
    <mergeCell ref="E43:E44"/>
    <mergeCell ref="F43:F44"/>
    <mergeCell ref="B45:B47"/>
    <mergeCell ref="D45:D47"/>
    <mergeCell ref="E45:E47"/>
    <mergeCell ref="F45:F47"/>
    <mergeCell ref="B38:B39"/>
    <mergeCell ref="C38:C39"/>
    <mergeCell ref="D38:D39"/>
    <mergeCell ref="E38:E39"/>
    <mergeCell ref="F38:F39"/>
    <mergeCell ref="B40:B42"/>
    <mergeCell ref="D40:D42"/>
    <mergeCell ref="E40:E41"/>
    <mergeCell ref="F40:F42"/>
    <mergeCell ref="C41:C42"/>
    <mergeCell ref="A34:A49"/>
    <mergeCell ref="B34:B35"/>
    <mergeCell ref="D34:D35"/>
    <mergeCell ref="E34:E35"/>
    <mergeCell ref="F34:F35"/>
    <mergeCell ref="B36:B37"/>
    <mergeCell ref="C36:C37"/>
    <mergeCell ref="D36:D37"/>
    <mergeCell ref="E36:E37"/>
    <mergeCell ref="F36:F37"/>
    <mergeCell ref="B30:B31"/>
    <mergeCell ref="C30:C31"/>
    <mergeCell ref="D30:D31"/>
    <mergeCell ref="E30:E31"/>
    <mergeCell ref="F30:F31"/>
    <mergeCell ref="B32:B33"/>
    <mergeCell ref="C32:C33"/>
    <mergeCell ref="D32:D33"/>
    <mergeCell ref="E32:E33"/>
    <mergeCell ref="F32:F33"/>
    <mergeCell ref="G24:G25"/>
    <mergeCell ref="H24:H25"/>
    <mergeCell ref="B26:B29"/>
    <mergeCell ref="C26:C27"/>
    <mergeCell ref="D26:D29"/>
    <mergeCell ref="H28:H29"/>
    <mergeCell ref="F26:F27"/>
    <mergeCell ref="F28:F29"/>
    <mergeCell ref="E26:E27"/>
    <mergeCell ref="E28:E29"/>
    <mergeCell ref="B21:B22"/>
    <mergeCell ref="C21:C22"/>
    <mergeCell ref="D21:D22"/>
    <mergeCell ref="E21:E22"/>
    <mergeCell ref="F21:F22"/>
    <mergeCell ref="B23:B25"/>
    <mergeCell ref="D23:D25"/>
    <mergeCell ref="E23:E25"/>
    <mergeCell ref="F23:F25"/>
    <mergeCell ref="C24:C25"/>
    <mergeCell ref="G15:G16"/>
    <mergeCell ref="H15:H16"/>
    <mergeCell ref="C17:C20"/>
    <mergeCell ref="G18:G20"/>
    <mergeCell ref="H18:H20"/>
    <mergeCell ref="F16:F18"/>
    <mergeCell ref="B12:B14"/>
    <mergeCell ref="D12:D14"/>
    <mergeCell ref="E12:E14"/>
    <mergeCell ref="F12:F14"/>
    <mergeCell ref="C13:C14"/>
    <mergeCell ref="B15:B20"/>
    <mergeCell ref="C15:C16"/>
    <mergeCell ref="D15:D20"/>
    <mergeCell ref="E15:E20"/>
    <mergeCell ref="C6:C8"/>
    <mergeCell ref="F6:F8"/>
    <mergeCell ref="B9:B11"/>
    <mergeCell ref="D9:D11"/>
    <mergeCell ref="E9:E11"/>
    <mergeCell ref="F9:F11"/>
    <mergeCell ref="G45:G46"/>
    <mergeCell ref="H45:H46"/>
    <mergeCell ref="A1:H1"/>
    <mergeCell ref="A2:H2"/>
    <mergeCell ref="A5:A33"/>
    <mergeCell ref="B5:B8"/>
    <mergeCell ref="D5:D8"/>
    <mergeCell ref="E5:E8"/>
    <mergeCell ref="G5:G6"/>
    <mergeCell ref="H5:H6"/>
  </mergeCells>
  <printOptions/>
  <pageMargins left="0.45" right="0.16" top="0.41" bottom="0.34" header="0.27" footer="0.27"/>
  <pageSetup fitToHeight="0" fitToWidth="1" horizontalDpi="600" verticalDpi="600" orientation="landscape" paperSize="9" scale="87" r:id="rId1"/>
  <rowBreaks count="4" manualBreakCount="4">
    <brk id="14" max="7" man="1"/>
    <brk id="22" max="7" man="1"/>
    <brk id="33" max="7" man="1"/>
    <brk id="42" max="7" man="1"/>
  </rowBreaks>
</worksheet>
</file>

<file path=xl/worksheets/sheet5.xml><?xml version="1.0" encoding="utf-8"?>
<worksheet xmlns="http://schemas.openxmlformats.org/spreadsheetml/2006/main" xmlns:r="http://schemas.openxmlformats.org/officeDocument/2006/relationships">
  <sheetPr>
    <pageSetUpPr fitToPage="1"/>
  </sheetPr>
  <dimension ref="A1:N104"/>
  <sheetViews>
    <sheetView view="pageBreakPreview" zoomScale="110" zoomScaleSheetLayoutView="110" zoomScalePageLayoutView="0" workbookViewId="0" topLeftCell="A1">
      <selection activeCell="A1" sqref="A1"/>
    </sheetView>
  </sheetViews>
  <sheetFormatPr defaultColWidth="9.00390625" defaultRowHeight="13.5"/>
  <cols>
    <col min="1" max="1" width="11.25390625" style="63" customWidth="1"/>
    <col min="2" max="2" width="6.125" style="63" customWidth="1"/>
    <col min="3" max="3" width="13.625" style="63" customWidth="1"/>
    <col min="4" max="4" width="15.00390625" style="63" customWidth="1"/>
    <col min="5" max="5" width="31.75390625" style="63" customWidth="1"/>
    <col min="6" max="6" width="37.00390625" style="63" customWidth="1"/>
    <col min="7" max="7" width="30.125" style="63" customWidth="1"/>
    <col min="8" max="16384" width="9.00390625" style="63" customWidth="1"/>
  </cols>
  <sheetData>
    <row r="1" ht="12">
      <c r="F1" s="64" t="s">
        <v>60</v>
      </c>
    </row>
    <row r="2" spans="1:6" ht="12">
      <c r="A2" s="63" t="s">
        <v>13</v>
      </c>
      <c r="F2" s="65" t="str">
        <f>'入力シート'!E6</f>
        <v>平成○○年○○月○○日</v>
      </c>
    </row>
    <row r="3" ht="12">
      <c r="A3" s="63" t="s">
        <v>37</v>
      </c>
    </row>
    <row r="4" ht="12">
      <c r="A4" s="63" t="s">
        <v>38</v>
      </c>
    </row>
    <row r="5" ht="8.25" customHeight="1"/>
    <row r="6" spans="4:6" ht="12">
      <c r="D6" s="395" t="s">
        <v>11</v>
      </c>
      <c r="E6" s="395"/>
      <c r="F6" s="63" t="str">
        <f>'入力シート'!E11</f>
        <v>○○・□□建設共同企業体</v>
      </c>
    </row>
    <row r="7" spans="4:6" s="83" customFormat="1" ht="13.5">
      <c r="D7" s="396" t="s">
        <v>97</v>
      </c>
      <c r="E7" s="396"/>
      <c r="F7" s="68">
        <f>'入力シート'!E12</f>
        <v>56789</v>
      </c>
    </row>
    <row r="8" spans="4:6" ht="18" customHeight="1">
      <c r="D8" s="397" t="s">
        <v>73</v>
      </c>
      <c r="E8" s="66" t="s">
        <v>10</v>
      </c>
      <c r="F8" s="66" t="str">
        <f>'入力シート'!E9</f>
        <v>横浜市○区○○町○丁目○－○</v>
      </c>
    </row>
    <row r="9" spans="4:6" ht="18" customHeight="1">
      <c r="D9" s="397"/>
      <c r="E9" s="66" t="s">
        <v>9</v>
      </c>
      <c r="F9" s="66" t="str">
        <f>'入力シート'!E7</f>
        <v>株式会社○○○○○○</v>
      </c>
    </row>
    <row r="10" spans="4:6" ht="18" customHeight="1">
      <c r="D10" s="397"/>
      <c r="E10" s="66" t="s">
        <v>8</v>
      </c>
      <c r="F10" s="67" t="str">
        <f>'入力シート'!E10</f>
        <v>代表取締役　○○　○○</v>
      </c>
    </row>
    <row r="11" spans="4:6" ht="12">
      <c r="D11" s="397"/>
      <c r="E11" s="66" t="s">
        <v>15</v>
      </c>
      <c r="F11" s="68">
        <f>'入力シート'!E8</f>
        <v>12345</v>
      </c>
    </row>
    <row r="12" ht="9" customHeight="1"/>
    <row r="13" spans="1:6" ht="17.25">
      <c r="A13" s="398" t="s">
        <v>86</v>
      </c>
      <c r="B13" s="398"/>
      <c r="C13" s="398"/>
      <c r="D13" s="398"/>
      <c r="E13" s="398"/>
      <c r="F13" s="398"/>
    </row>
    <row r="14" spans="1:6" ht="8.25" customHeight="1">
      <c r="A14" s="74"/>
      <c r="B14" s="74"/>
      <c r="C14" s="74"/>
      <c r="D14" s="74"/>
      <c r="E14" s="74"/>
      <c r="F14" s="74"/>
    </row>
    <row r="15" spans="1:7" ht="18.75" customHeight="1">
      <c r="A15" s="74" t="s">
        <v>74</v>
      </c>
      <c r="B15" s="74"/>
      <c r="C15" s="74"/>
      <c r="D15" s="74"/>
      <c r="E15" s="74"/>
      <c r="F15" s="74"/>
      <c r="G15" s="66"/>
    </row>
    <row r="16" spans="1:7" ht="6" customHeight="1">
      <c r="A16" s="204"/>
      <c r="B16" s="204"/>
      <c r="C16" s="205"/>
      <c r="D16" s="205"/>
      <c r="E16" s="205"/>
      <c r="F16" s="205"/>
      <c r="G16" s="66"/>
    </row>
    <row r="17" spans="1:7" ht="12">
      <c r="A17" s="69" t="s">
        <v>2</v>
      </c>
      <c r="B17" s="69"/>
      <c r="C17" s="70" t="str">
        <f>'入力シート'!E19</f>
        <v>鶴見土木管内舗装補修（応急修理・雪害対策）工事（その６）</v>
      </c>
      <c r="D17" s="70"/>
      <c r="E17" s="70"/>
      <c r="F17" s="71"/>
      <c r="G17" s="66"/>
    </row>
    <row r="18" spans="1:7" ht="5.25" customHeight="1">
      <c r="A18" s="167"/>
      <c r="B18" s="167"/>
      <c r="C18" s="72"/>
      <c r="D18" s="72"/>
      <c r="E18" s="72"/>
      <c r="F18" s="73"/>
      <c r="G18" s="66"/>
    </row>
    <row r="19" spans="1:6" ht="15.75" customHeight="1">
      <c r="A19" s="354" t="s">
        <v>289</v>
      </c>
      <c r="B19" s="354"/>
      <c r="C19" s="354"/>
      <c r="D19" s="354"/>
      <c r="E19" s="354"/>
      <c r="F19" s="354"/>
    </row>
    <row r="20" spans="1:6" ht="17.25" customHeight="1">
      <c r="A20" s="196" t="s">
        <v>0</v>
      </c>
      <c r="B20" s="197" t="s">
        <v>71</v>
      </c>
      <c r="C20" s="337" t="s">
        <v>75</v>
      </c>
      <c r="D20" s="337"/>
      <c r="E20" s="337"/>
      <c r="F20" s="195" t="s">
        <v>282</v>
      </c>
    </row>
    <row r="21" spans="1:6" ht="33" customHeight="1">
      <c r="A21" s="355" t="s">
        <v>3</v>
      </c>
      <c r="B21" s="369" t="str">
        <f>'入力シート'!C32</f>
        <v>不適用</v>
      </c>
      <c r="C21" s="62">
        <f>IF('入力シート'!$C$32="適用","同種工事","")</f>
      </c>
      <c r="D21" s="348">
        <f>IF('入力シート'!$C$32="適用",'入力シート'!E32,"")</f>
      </c>
      <c r="E21" s="349"/>
      <c r="F21" s="208">
        <f>IF('入力シート'!$C$32="適用","変更不可","")</f>
      </c>
    </row>
    <row r="22" spans="1:6" ht="48" customHeight="1">
      <c r="A22" s="386"/>
      <c r="B22" s="369"/>
      <c r="C22" s="62">
        <f>IF('入力シート'!$C$32="適用","工事名","")</f>
      </c>
      <c r="D22" s="342"/>
      <c r="E22" s="346"/>
      <c r="F22" s="399">
        <f>IF('入力シート'!$C$32="適用","添付資料欄には「同種工事」の施工実績を証明するために添付する資料名を記入してください。添付資料の内容と相違を生じないように工事名、契約金額を記入してください。","")</f>
      </c>
    </row>
    <row r="23" spans="1:6" ht="12">
      <c r="A23" s="386"/>
      <c r="B23" s="369"/>
      <c r="C23" s="173">
        <f>IF('入力シート'!$C$32="適用","契約金額(税込み)","")</f>
      </c>
      <c r="D23" s="342"/>
      <c r="E23" s="346"/>
      <c r="F23" s="400"/>
    </row>
    <row r="24" spans="1:6" ht="28.5" customHeight="1">
      <c r="A24" s="356"/>
      <c r="B24" s="369"/>
      <c r="C24" s="62">
        <f>IF('入力シート'!$C$32="適用","添付資料","")</f>
      </c>
      <c r="D24" s="402"/>
      <c r="E24" s="403"/>
      <c r="F24" s="401"/>
    </row>
    <row r="25" spans="1:6" ht="13.5" customHeight="1">
      <c r="A25" s="345" t="s">
        <v>91</v>
      </c>
      <c r="B25" s="369" t="str">
        <f>'入力シート'!C33</f>
        <v>適用</v>
      </c>
      <c r="C25" s="62" t="str">
        <f>IF('入力シート'!$C$33="適用","同一登録工種","")</f>
        <v>同一登録工種</v>
      </c>
      <c r="D25" s="389" t="str">
        <f>IF('入力シート'!$C$33="適用",'入力シート'!E33,"")</f>
        <v>ほ装</v>
      </c>
      <c r="E25" s="390"/>
      <c r="F25" s="208" t="str">
        <f>IF('入力シート'!$C$33="適用","変更不可","")</f>
        <v>変更不可</v>
      </c>
    </row>
    <row r="26" spans="1:6" ht="12">
      <c r="A26" s="345"/>
      <c r="B26" s="369"/>
      <c r="C26" s="193" t="str">
        <f>IF('入力シート'!$C$33="適用","評価申請（工事１）","")</f>
        <v>評価申請（工事１）</v>
      </c>
      <c r="D26" s="192"/>
      <c r="E26" s="380" t="str">
        <f>IF('入力シート'!$C$33="適用","［する、しない］　のどちらかを記入してください。工事件名は記入不要です。","")</f>
        <v>［する、しない］　のどちらかを記入してください。工事件名は記入不要です。</v>
      </c>
      <c r="F26" s="381"/>
    </row>
    <row r="27" spans="1:6" ht="12">
      <c r="A27" s="345"/>
      <c r="B27" s="369"/>
      <c r="C27" s="62" t="str">
        <f>IF('入力シート'!$C$33="適用","添付資料","")</f>
        <v>添付資料</v>
      </c>
      <c r="D27" s="370" t="str">
        <f>IF('入力シート'!$C$33="適用","工事1の工事完成検査結果通知書の写し","")</f>
        <v>工事1の工事完成検査結果通知書の写し</v>
      </c>
      <c r="E27" s="371"/>
      <c r="F27" s="208" t="str">
        <f>IF('入力シート'!$C$33="適用","変更不可","")</f>
        <v>変更不可</v>
      </c>
    </row>
    <row r="28" spans="1:6" ht="12">
      <c r="A28" s="345"/>
      <c r="B28" s="369"/>
      <c r="C28" s="223" t="str">
        <f>IF('入力シート'!$C$33="適用","評価申請（工事2）","")</f>
        <v>評価申請（工事2）</v>
      </c>
      <c r="D28" s="192"/>
      <c r="E28" s="380" t="str">
        <f>IF('入力シート'!$C$33="適用","［する、しない］　のどちらかを記入してください。工事件名は記入不要です。","")</f>
        <v>［する、しない］　のどちらかを記入してください。工事件名は記入不要です。</v>
      </c>
      <c r="F28" s="381"/>
    </row>
    <row r="29" spans="1:6" ht="12">
      <c r="A29" s="345"/>
      <c r="B29" s="369"/>
      <c r="C29" s="62" t="str">
        <f>IF('入力シート'!$C$33="適用","添付資料","")</f>
        <v>添付資料</v>
      </c>
      <c r="D29" s="370" t="str">
        <f>IF('入力シート'!$C$33="適用","工事2の工事完成検査結果通知書の写し","")</f>
        <v>工事2の工事完成検査結果通知書の写し</v>
      </c>
      <c r="E29" s="371"/>
      <c r="F29" s="208" t="str">
        <f>IF('入力シート'!$C$33="適用","変更不可","")</f>
        <v>変更不可</v>
      </c>
    </row>
    <row r="30" spans="1:6" ht="14.25" customHeight="1">
      <c r="A30" s="375" t="s">
        <v>121</v>
      </c>
      <c r="B30" s="338" t="str">
        <f>'入力シート'!C34</f>
        <v>適用</v>
      </c>
      <c r="C30" s="62" t="str">
        <f>IF('入力シート'!$C$34="適用","部門","")</f>
        <v>部門</v>
      </c>
      <c r="D30" s="370" t="str">
        <f>IF('入力シート'!$C$34="適用",'入力シート'!E34,"")</f>
        <v>土木（土木・造園）</v>
      </c>
      <c r="E30" s="371"/>
      <c r="F30" s="208" t="str">
        <f>IF('入力シート'!$C$34="適用","変更不可","")</f>
        <v>変更不可</v>
      </c>
    </row>
    <row r="31" spans="1:6" ht="14.25" customHeight="1">
      <c r="A31" s="376"/>
      <c r="B31" s="364"/>
      <c r="C31" s="391" t="str">
        <f>IF('入力シート'!$C$34="適用","表彰年度","")</f>
        <v>表彰年度</v>
      </c>
      <c r="D31" s="62" t="str">
        <f>IF('入力シート'!$C$34="適用","表彰１","")</f>
        <v>表彰１</v>
      </c>
      <c r="E31" s="169"/>
      <c r="F31" s="170"/>
    </row>
    <row r="32" spans="1:6" ht="14.25" customHeight="1">
      <c r="A32" s="377"/>
      <c r="B32" s="339"/>
      <c r="C32" s="391" t="str">
        <f>IF('入力シート'!$C$34="適用","部門","")</f>
        <v>部門</v>
      </c>
      <c r="D32" s="62" t="str">
        <f>IF('入力シート'!$C$34="適用","表彰２","")</f>
        <v>表彰２</v>
      </c>
      <c r="E32" s="169"/>
      <c r="F32" s="171"/>
    </row>
    <row r="33" spans="1:6" ht="24.75" customHeight="1">
      <c r="A33" s="345" t="s">
        <v>92</v>
      </c>
      <c r="B33" s="338" t="str">
        <f>'入力シート'!C35</f>
        <v>不適用</v>
      </c>
      <c r="C33" s="62">
        <f>IF('入力シート'!$C$35="適用","同種工事","")</f>
      </c>
      <c r="D33" s="348">
        <f>IF('入力シート'!$C$35="適用",'入力シート'!E35,"")</f>
      </c>
      <c r="E33" s="349"/>
      <c r="F33" s="208">
        <f>IF('入力シート'!$C$35="適用","変更不可","")</f>
      </c>
    </row>
    <row r="34" spans="1:6" ht="24.75" customHeight="1">
      <c r="A34" s="345"/>
      <c r="B34" s="364"/>
      <c r="C34" s="62">
        <f>IF('入力シート'!$C$35="適用","技術者氏名","")</f>
      </c>
      <c r="D34" s="365">
        <f>IF('入力シート'!$C$35="適用",C75&amp;B79,"")</f>
      </c>
      <c r="E34" s="366"/>
      <c r="F34" s="133">
        <f>IF('入力シート'!$C$35="適用","評価を希望する場合は「☆配置予定技術者氏名等記入欄」に氏名を記入してください。","")</f>
      </c>
    </row>
    <row r="35" spans="1:6" ht="31.5" customHeight="1">
      <c r="A35" s="345"/>
      <c r="B35" s="364"/>
      <c r="C35" s="62">
        <f>IF('入力シート'!$C$35="適用","工事名","")</f>
      </c>
      <c r="D35" s="346"/>
      <c r="E35" s="347"/>
      <c r="F35" s="360">
        <f>IF('入力シート'!$C$35="適用","「添付資料」欄には「同種工事」の施工経験を証明するために添付する資料名を記入してください。添付資料の内容と相違を生じないように工事名、契約金額を記入してください。","")</f>
      </c>
    </row>
    <row r="36" spans="1:6" ht="27" customHeight="1">
      <c r="A36" s="345"/>
      <c r="B36" s="364"/>
      <c r="C36" s="174">
        <f>IF('入力シート'!$C$35="適用","契約金額(税込み)","")</f>
      </c>
      <c r="D36" s="346"/>
      <c r="E36" s="347"/>
      <c r="F36" s="361"/>
    </row>
    <row r="37" spans="1:6" ht="54.75" customHeight="1">
      <c r="A37" s="345"/>
      <c r="B37" s="364"/>
      <c r="C37" s="174">
        <f>IF('入力シート'!$C$35="適用","添付資料","")</f>
      </c>
      <c r="D37" s="346"/>
      <c r="E37" s="347"/>
      <c r="F37" s="200">
        <f>IF(AND('入力シート'!$C$35="適用",'入力シート'!$C$38="適用"),"専任指導技術者の施工経験を記入することができます。その場合、「☆専任指導技術者氏名記入欄」に氏名を記入した上で、下欄に「する」と記入してください。","")</f>
      </c>
    </row>
    <row r="38" spans="1:6" ht="54.75" customHeight="1">
      <c r="A38" s="345"/>
      <c r="B38" s="364"/>
      <c r="C38" s="61">
        <f>IF('入力シート'!$C$35="適用","専任指導技術者での評価","")</f>
      </c>
      <c r="D38" s="192"/>
      <c r="E38" s="340">
        <f>IF('入力シート'!$C$35="不適用","",IF(AND('入力シート'!$C$35="適用",'入力シート'!$C$38="適用"),"専任指導技術者の施工経験での評価の［する、しない］を記入してください。「する」の場合でも若手技術者が入札公告で定める技術者の要件を満たしている必要があります。","評価項目「若手技術者の育成」が不適用なため、記入不要です。"))</f>
      </c>
      <c r="F38" s="341"/>
    </row>
    <row r="39" spans="1:6" ht="33" customHeight="1">
      <c r="A39" s="345"/>
      <c r="B39" s="339"/>
      <c r="C39" s="61">
        <f>IF('入力シート'!$C$35="適用","専任指導技術者氏名","")</f>
      </c>
      <c r="D39" s="201">
        <f>IF('入力シート'!$C$35="適用",IF(D38="する",D52,""),"")</f>
      </c>
      <c r="E39" s="340">
        <f>IF(AND('入力シート'!$C$35="適用",'入力シート'!$C$38="適用"),"専任指導技術者の実績で評価を希望する場合は評価項目「若手技術者の育成」にて「専任指導技術者の追加配置」を「する」にしてください。","")</f>
      </c>
      <c r="F39" s="341"/>
    </row>
    <row r="40" spans="1:7" ht="46.5" customHeight="1">
      <c r="A40" s="345" t="s">
        <v>322</v>
      </c>
      <c r="B40" s="362" t="str">
        <f>'入力シート'!C36</f>
        <v>不適用</v>
      </c>
      <c r="C40" s="223">
        <f>IF('入力シート'!$C$36="適用","主任技術者の配置が必要な工事に監理技術者を配置する","")</f>
      </c>
      <c r="D40" s="199"/>
      <c r="E40" s="350">
        <f>IF('入力シート'!$C$36="適用","［する、しない］　のどちらかを記入してください。「する」の場合、「☆配置予定技術者氏名等記入欄」にその者の氏名を記入してください。","")</f>
      </c>
      <c r="F40" s="351"/>
      <c r="G40" s="182"/>
    </row>
    <row r="41" spans="1:7" ht="24" customHeight="1">
      <c r="A41" s="345"/>
      <c r="B41" s="362"/>
      <c r="C41" s="62">
        <f>IF('入力シート'!$C$36="適用","技術者氏名","")</f>
      </c>
      <c r="D41" s="365">
        <f>IF('入力シート'!$C$36="適用",IF(D40="する",C75&amp;B79,""),"")</f>
      </c>
      <c r="E41" s="366"/>
      <c r="F41" s="133">
        <f>IF('入力シート'!$C$36="適用","評価を希望する場合は「☆配置予定技術者氏名等記入欄」に氏名を記入してください。","")</f>
      </c>
      <c r="G41" s="182"/>
    </row>
    <row r="42" spans="1:7" ht="18" customHeight="1">
      <c r="A42" s="345"/>
      <c r="B42" s="363"/>
      <c r="C42" s="137">
        <f>IF('入力シート'!$C$36="適用","添付資料","")</f>
      </c>
      <c r="D42" s="369">
        <f>IF('入力シート'!$C$36="適用","監理技術者証及び監理技術者講習修了証の写し","")</f>
      </c>
      <c r="E42" s="369"/>
      <c r="F42" s="208">
        <f>IF('入力シート'!$C$36="適用","変更不可","")</f>
      </c>
      <c r="G42" s="182"/>
    </row>
    <row r="43" spans="1:6" ht="14.25" customHeight="1">
      <c r="A43" s="345" t="s">
        <v>122</v>
      </c>
      <c r="B43" s="338" t="str">
        <f>'入力シート'!C37</f>
        <v>適用</v>
      </c>
      <c r="C43" s="62" t="str">
        <f>IF('入力シート'!$C$37="適用","部門","")</f>
        <v>部門</v>
      </c>
      <c r="D43" s="370" t="str">
        <f>IF('入力シート'!$C$37="適用",'入力シート'!E37,"")</f>
        <v>土木（土木・造園）</v>
      </c>
      <c r="E43" s="371"/>
      <c r="F43" s="208" t="str">
        <f>IF('入力シート'!$C$37="適用","変更不可","")</f>
        <v>変更不可</v>
      </c>
    </row>
    <row r="44" spans="1:6" ht="14.25" customHeight="1">
      <c r="A44" s="345"/>
      <c r="B44" s="364"/>
      <c r="C44" s="62" t="str">
        <f>IF('入力シート'!$C$37="適用","表彰年度","")</f>
        <v>表彰年度</v>
      </c>
      <c r="D44" s="194"/>
      <c r="E44" s="374"/>
      <c r="F44" s="374"/>
    </row>
    <row r="45" spans="1:6" ht="14.25" customHeight="1">
      <c r="A45" s="345"/>
      <c r="B45" s="364"/>
      <c r="C45" s="357" t="str">
        <f>IF('入力シート'!$C$37="適用","現場代理人氏名","")</f>
        <v>現場代理人氏名</v>
      </c>
      <c r="D45" s="372">
        <f>IF('入力シート'!$C$37="適用",C95,"")</f>
        <v>0</v>
      </c>
      <c r="E45" s="367" t="str">
        <f>IF('入力シート'!$C$37="適用","評価を希望する場合は「☆配置予定現場代理人氏名記入欄」に氏名を記入してください。","")</f>
        <v>評価を希望する場合は「☆配置予定現場代理人氏名記入欄」に氏名を記入してください。</v>
      </c>
      <c r="F45" s="368"/>
    </row>
    <row r="46" spans="1:6" ht="48" customHeight="1">
      <c r="A46" s="345"/>
      <c r="B46" s="364"/>
      <c r="C46" s="358"/>
      <c r="D46" s="373"/>
      <c r="E46" s="411">
        <f>IF(AND('入力シート'!$C$37="適用",'入力シート'!$C$38="適用"),"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f>
      </c>
      <c r="F46" s="412"/>
    </row>
    <row r="47" spans="1:6" ht="39.75" customHeight="1">
      <c r="A47" s="345"/>
      <c r="B47" s="364"/>
      <c r="C47" s="61" t="str">
        <f>IF('入力シート'!$C$37="適用","専任指導技術者での評価","")</f>
        <v>専任指導技術者での評価</v>
      </c>
      <c r="D47" s="192"/>
      <c r="E47" s="384" t="str">
        <f>IF('入力シート'!$C$37="不適用","",IF(AND('入力シート'!$C$37="適用",'入力シート'!$C$38="適用"),"専任指導技術者の所有する表彰実績での評価の［する、しない］を記入してください。「する」の場合でも若手技術者が入札公告で定める技術者の要件を満たしている必要があります。","評価項目「若手技術者の育成」が不適用なため、記入不要です。"))</f>
        <v>評価項目「若手技術者の育成」が不適用なため、記入不要です。</v>
      </c>
      <c r="F47" s="384"/>
    </row>
    <row r="48" spans="1:6" ht="32.25" customHeight="1">
      <c r="A48" s="345"/>
      <c r="B48" s="339"/>
      <c r="C48" s="61" t="str">
        <f>IF('入力シート'!$C$37="適用","専任指導技術者氏名","")</f>
        <v>専任指導技術者氏名</v>
      </c>
      <c r="D48" s="201">
        <f>IF('入力シート'!$C$37="適用",IF(D47="する",D52,""),"")</f>
      </c>
      <c r="E48" s="340">
        <f>IF(AND('入力シート'!$C$37="適用",'入力シート'!$C$38="適用"),"専任指導技術者の実績で評価を希望する場合は評価項目「若手技術者の育成」にて「専任指導技術者の追加配置」を「する」にしてください。","")</f>
      </c>
      <c r="F48" s="341"/>
    </row>
    <row r="49" spans="1:6" ht="39.75" customHeight="1">
      <c r="A49" s="383" t="s">
        <v>234</v>
      </c>
      <c r="B49" s="338" t="str">
        <f>'入力シート'!C38</f>
        <v>不適用</v>
      </c>
      <c r="C49" s="138">
        <f>IF('入力シート'!$C$38="適用","若手技術者の配置","")</f>
      </c>
      <c r="D49" s="192"/>
      <c r="E49" s="359">
        <f>IF('入力シート'!$C$38="適用","［する、しない］　のどちらかを記入してください。「する」の場合、「☆配置予定技術者氏名等記入欄」にその者の氏名等を記入してください(「若手技術者」の定義を必ずご確認ください）。","")</f>
      </c>
      <c r="F49" s="359"/>
    </row>
    <row r="50" spans="1:6" ht="30.75" customHeight="1">
      <c r="A50" s="406"/>
      <c r="B50" s="364"/>
      <c r="C50" s="138">
        <f>IF('入力シート'!$C$38="適用","若手技術者氏名","")</f>
      </c>
      <c r="D50" s="365">
        <f>IF('入力シート'!$C$38="適用",IF(D49="する",C75&amp;B79,""),"")</f>
      </c>
      <c r="E50" s="366"/>
      <c r="F50" s="133">
        <f>IF('入力シート'!$C$38="適用","「☆配置予定技術者氏名等記入欄」に氏名を記入し条件が揃うと自動的に表示されます。","")</f>
      </c>
    </row>
    <row r="51" spans="1:6" ht="30.75" customHeight="1">
      <c r="A51" s="406"/>
      <c r="B51" s="364"/>
      <c r="C51" s="138">
        <f>IF('入力シート'!$C$38="適用","専任指導技術者の追加配置","")</f>
      </c>
      <c r="D51" s="192"/>
      <c r="E51" s="359">
        <f>IF('入力シート'!$C$38="適用","［する、しない］　のどちらかを記入してください。「する」の場合、「☆専任指導技術者氏名等記入欄」にその者の氏名を記入してください。","")</f>
      </c>
      <c r="F51" s="359"/>
    </row>
    <row r="52" spans="1:8" ht="27.75" customHeight="1">
      <c r="A52" s="406"/>
      <c r="B52" s="364"/>
      <c r="C52" s="207">
        <f>IF('入力シート'!$C$38="適用","専任指導技術者氏名","")</f>
      </c>
      <c r="D52" s="365">
        <f>IF('入力シート'!$C$38="適用",IF(AND(D51="する",D49="する"),C90,""),"")</f>
      </c>
      <c r="E52" s="366"/>
      <c r="F52" s="133">
        <f>IF('入力シート'!$C$38="適用","「☆専任指導技術者氏名記入欄」に氏名を記入し条件が揃うと自動的に表示されます。","")</f>
      </c>
      <c r="H52" s="166"/>
    </row>
    <row r="53" spans="1:6" ht="20.25" customHeight="1">
      <c r="A53" s="345" t="s">
        <v>93</v>
      </c>
      <c r="B53" s="338" t="str">
        <f>'入力シート'!C39</f>
        <v>適用</v>
      </c>
      <c r="C53" s="133" t="str">
        <f>IF('入力シート'!$C$39="適用","ISO9001の登録","")</f>
        <v>ISO9001の登録</v>
      </c>
      <c r="D53" s="346"/>
      <c r="E53" s="347"/>
      <c r="F53" s="209" t="str">
        <f>IF('入力シート'!$C$39="適用","［有、無］　のどちらかを記入してください。","")</f>
        <v>［有、無］　のどちらかを記入してください。</v>
      </c>
    </row>
    <row r="54" spans="1:6" ht="20.25" customHeight="1">
      <c r="A54" s="345"/>
      <c r="B54" s="339"/>
      <c r="C54" s="61" t="str">
        <f>IF('入力シート'!$C$39="適用","添付書類","")</f>
        <v>添付書類</v>
      </c>
      <c r="D54" s="343" t="str">
        <f>IF('入力シート'!$C$39="適用","登録証の写し及び登録範囲が確認できる付属書等の写し","")</f>
        <v>登録証の写し及び登録範囲が確認できる付属書等の写し</v>
      </c>
      <c r="E54" s="344"/>
      <c r="F54" s="208" t="str">
        <f>IF('入力シート'!$C$39="適用","変更不可","")</f>
        <v>変更不可</v>
      </c>
    </row>
    <row r="55" spans="1:6" ht="18" customHeight="1">
      <c r="A55" s="345" t="s">
        <v>237</v>
      </c>
      <c r="B55" s="338" t="str">
        <f>'入力シート'!C40</f>
        <v>適用</v>
      </c>
      <c r="C55" s="61" t="str">
        <f>IF('入力シート'!$C$40="適用","工事施工場所","")</f>
        <v>工事施工場所</v>
      </c>
      <c r="D55" s="340" t="str">
        <f>IF('入力シート'!$C$40="適用",'入力シート'!E40,"")</f>
        <v>鶴見区</v>
      </c>
      <c r="E55" s="341"/>
      <c r="F55" s="208" t="str">
        <f>IF('入力シート'!$C$40="適用","変更不可","")</f>
        <v>変更不可</v>
      </c>
    </row>
    <row r="56" spans="1:6" ht="22.5" customHeight="1">
      <c r="A56" s="345"/>
      <c r="B56" s="364"/>
      <c r="C56" s="150" t="str">
        <f>IF('入力シート'!$C$40="適用","主たる営業所の所在地","")</f>
        <v>主たる営業所の所在地</v>
      </c>
      <c r="D56" s="342"/>
      <c r="E56" s="342"/>
      <c r="F56" s="61"/>
    </row>
    <row r="57" spans="1:6" ht="18" customHeight="1">
      <c r="A57" s="345"/>
      <c r="B57" s="339"/>
      <c r="C57" s="61" t="str">
        <f>IF('入力シート'!$C$40="適用","添付資料","")</f>
        <v>添付資料</v>
      </c>
      <c r="D57" s="342"/>
      <c r="E57" s="342"/>
      <c r="F57" s="61" t="str">
        <f>IF('入力シート'!$C$40="適用","添付する資料名を記入してください。","")</f>
        <v>添付する資料名を記入してください。</v>
      </c>
    </row>
    <row r="58" spans="1:6" ht="29.25" customHeight="1">
      <c r="A58" s="133" t="s">
        <v>238</v>
      </c>
      <c r="B58" s="172" t="str">
        <f>'入力シート'!C42</f>
        <v>適用</v>
      </c>
      <c r="C58" s="193" t="str">
        <f>IF('入力シート'!$C$42="適用","横浜市災害協力事業者名簿の登載","")</f>
        <v>横浜市災害協力事業者名簿の登載</v>
      </c>
      <c r="D58" s="346"/>
      <c r="E58" s="347"/>
      <c r="F58" s="209" t="str">
        <f>IF('入力シート'!$C$42="適用","［有、無］　のどちらかを記入してください。","")</f>
        <v>［有、無］　のどちらかを記入してください。</v>
      </c>
    </row>
    <row r="59" spans="1:6" ht="24.75" customHeight="1">
      <c r="A59" s="345" t="s">
        <v>236</v>
      </c>
      <c r="B59" s="338" t="str">
        <f>'入力シート'!C43</f>
        <v>不適用</v>
      </c>
      <c r="C59" s="133">
        <f>IF('入力シート'!$C$43="適用","ISO14001の登録","")</f>
      </c>
      <c r="D59" s="346"/>
      <c r="E59" s="347"/>
      <c r="F59" s="209">
        <f>IF('入力シート'!$C$43="適用","［有、無］　のどちらかを記入してください。","")</f>
      </c>
    </row>
    <row r="60" spans="1:6" ht="18.75" customHeight="1">
      <c r="A60" s="345"/>
      <c r="B60" s="339"/>
      <c r="C60" s="61">
        <f>IF('入力シート'!$C$43="適用","添付書類","")</f>
      </c>
      <c r="D60" s="343">
        <f>IF('入力シート'!$C$43="適用","登録証の写し及び登録範囲が確認できる付属書等の写し","")</f>
      </c>
      <c r="E60" s="344"/>
      <c r="F60" s="208">
        <f>IF('入力シート'!$C$43="適用","変更不可","")</f>
      </c>
    </row>
    <row r="61" spans="1:6" ht="31.5" customHeight="1">
      <c r="A61" s="137" t="s">
        <v>239</v>
      </c>
      <c r="B61" s="172" t="str">
        <f>'入力シート'!C44</f>
        <v>不適用</v>
      </c>
      <c r="C61" s="137">
        <f>IF('入力シート'!$C$44="適用","市内中小企業の活用目標値(％)","")</f>
      </c>
      <c r="D61" s="346"/>
      <c r="E61" s="382"/>
      <c r="F61" s="61">
        <f>IF('入力シート'!$C$44="適用","目標値（％）を整数で記入してください。","")</f>
      </c>
    </row>
    <row r="62" spans="1:6" ht="27" customHeight="1">
      <c r="A62" s="355" t="s">
        <v>225</v>
      </c>
      <c r="B62" s="338" t="str">
        <f>'入力シート'!C46</f>
        <v>適用</v>
      </c>
      <c r="C62" s="137" t="str">
        <f>IF('入力シート'!$C$46="適用","横浜型地域貢献企業の認定","")</f>
        <v>横浜型地域貢献企業の認定</v>
      </c>
      <c r="D62" s="346"/>
      <c r="E62" s="347"/>
      <c r="F62" s="209" t="str">
        <f>IF('入力シート'!$C$46="適用","［有、無］　のどちらかを記入してください。","")</f>
        <v>［有、無］　のどちらかを記入してください。</v>
      </c>
    </row>
    <row r="63" spans="1:6" ht="18" customHeight="1">
      <c r="A63" s="356"/>
      <c r="B63" s="339"/>
      <c r="C63" s="133" t="str">
        <f>IF('入力シート'!$C$46="適用","添付書類","")</f>
        <v>添付書類</v>
      </c>
      <c r="D63" s="343" t="str">
        <f>IF('入力シート'!$C$46="適用","認定証の写し","")</f>
        <v>認定証の写し</v>
      </c>
      <c r="E63" s="344"/>
      <c r="F63" s="208" t="str">
        <f>IF('入力シート'!$C$46="適用","変更不可","")</f>
        <v>変更不可</v>
      </c>
    </row>
    <row r="64" spans="1:6" ht="18.75" customHeight="1">
      <c r="A64" s="392" t="s">
        <v>240</v>
      </c>
      <c r="B64" s="338" t="str">
        <f>'入力シート'!C47</f>
        <v>適用</v>
      </c>
      <c r="C64" s="224" t="str">
        <f>IF('入力シート'!$C$47="適用","保有する建設機械","")</f>
        <v>保有する建設機械</v>
      </c>
      <c r="D64" s="342"/>
      <c r="E64" s="342"/>
      <c r="F64" s="168" t="str">
        <f>IF('入力シート'!$C$47="適用","1台のみ記入してください。","")</f>
        <v>1台のみ記入してください。</v>
      </c>
    </row>
    <row r="65" spans="1:6" ht="17.25" customHeight="1">
      <c r="A65" s="393"/>
      <c r="B65" s="364"/>
      <c r="C65" s="383" t="str">
        <f>IF('入力シート'!$C$47="適用","添付書類","")</f>
        <v>添付書類</v>
      </c>
      <c r="D65" s="402"/>
      <c r="E65" s="407"/>
      <c r="F65" s="168" t="str">
        <f>IF('入力シート'!$C$47="適用","添付する資料名を記入してください。","")</f>
        <v>添付する資料名を記入してください。</v>
      </c>
    </row>
    <row r="66" spans="1:6" ht="29.25" customHeight="1">
      <c r="A66" s="394"/>
      <c r="B66" s="339"/>
      <c r="C66" s="384"/>
      <c r="D66" s="370" t="str">
        <f>IF('入力シート'!$C$47="適用","当該建設機械の写真","")</f>
        <v>当該建設機械の写真</v>
      </c>
      <c r="E66" s="371"/>
      <c r="F66" s="61" t="str">
        <f>IF('入力シート'!$C$47="適用","変更不可（上記資料に加え、必ず添付してください）。","")</f>
        <v>変更不可（上記資料に加え、必ず添付してください）。</v>
      </c>
    </row>
    <row r="67" spans="1:6" ht="4.5" customHeight="1">
      <c r="A67" s="74"/>
      <c r="B67" s="74"/>
      <c r="C67" s="74"/>
      <c r="D67" s="74"/>
      <c r="E67" s="74"/>
      <c r="F67" s="74"/>
    </row>
    <row r="68" spans="1:13" ht="15.75" customHeight="1">
      <c r="A68" s="354"/>
      <c r="B68" s="354"/>
      <c r="C68" s="354"/>
      <c r="D68" s="354"/>
      <c r="E68" s="354"/>
      <c r="F68" s="354"/>
      <c r="G68" s="66"/>
      <c r="H68" s="79"/>
      <c r="I68" s="79"/>
      <c r="J68" s="79"/>
      <c r="K68" s="79"/>
      <c r="L68" s="79"/>
      <c r="M68" s="79"/>
    </row>
    <row r="69" spans="1:13" ht="15.75" customHeight="1">
      <c r="A69" s="206"/>
      <c r="B69" s="206"/>
      <c r="C69" s="206"/>
      <c r="D69" s="206"/>
      <c r="E69" s="206"/>
      <c r="F69" s="206"/>
      <c r="G69" s="66"/>
      <c r="H69" s="79"/>
      <c r="I69" s="79"/>
      <c r="J69" s="79"/>
      <c r="K69" s="79"/>
      <c r="L69" s="79"/>
      <c r="M69" s="79"/>
    </row>
    <row r="70" spans="1:13" ht="15.75" customHeight="1">
      <c r="A70" s="206"/>
      <c r="B70" s="206"/>
      <c r="C70" s="206"/>
      <c r="D70" s="206"/>
      <c r="E70" s="206"/>
      <c r="F70" s="206"/>
      <c r="G70" s="66"/>
      <c r="H70" s="79"/>
      <c r="I70" s="79"/>
      <c r="J70" s="79"/>
      <c r="K70" s="79"/>
      <c r="L70" s="79"/>
      <c r="M70" s="79"/>
    </row>
    <row r="71" spans="1:13" ht="15.75" customHeight="1">
      <c r="A71" s="206"/>
      <c r="B71" s="206"/>
      <c r="C71" s="206"/>
      <c r="D71" s="206"/>
      <c r="E71" s="206"/>
      <c r="F71" s="206"/>
      <c r="G71" s="66"/>
      <c r="H71" s="79"/>
      <c r="I71" s="79"/>
      <c r="J71" s="79"/>
      <c r="K71" s="79"/>
      <c r="L71" s="79"/>
      <c r="M71" s="79"/>
    </row>
    <row r="72" spans="1:13" ht="15.75" customHeight="1">
      <c r="A72" s="206" t="s">
        <v>324</v>
      </c>
      <c r="B72" s="206"/>
      <c r="C72" s="206"/>
      <c r="D72" s="206"/>
      <c r="E72" s="206"/>
      <c r="F72" s="206"/>
      <c r="G72" s="66"/>
      <c r="H72" s="79"/>
      <c r="I72" s="79"/>
      <c r="J72" s="79"/>
      <c r="K72" s="79"/>
      <c r="L72" s="79"/>
      <c r="M72" s="79"/>
    </row>
    <row r="73" spans="1:13" ht="4.5" customHeight="1">
      <c r="A73" s="72"/>
      <c r="B73" s="72"/>
      <c r="C73" s="72"/>
      <c r="D73" s="72"/>
      <c r="E73" s="72"/>
      <c r="F73" s="72"/>
      <c r="G73" s="66"/>
      <c r="H73" s="79"/>
      <c r="I73" s="79"/>
      <c r="J73" s="79"/>
      <c r="K73" s="79"/>
      <c r="L73" s="79"/>
      <c r="M73" s="79"/>
    </row>
    <row r="74" spans="1:7" ht="17.25" customHeight="1">
      <c r="A74" s="336" t="s">
        <v>319</v>
      </c>
      <c r="B74" s="337"/>
      <c r="C74" s="337"/>
      <c r="D74" s="337"/>
      <c r="E74" s="337"/>
      <c r="F74" s="210" t="s">
        <v>282</v>
      </c>
      <c r="G74" s="66"/>
    </row>
    <row r="75" spans="1:7" ht="12">
      <c r="A75" s="369" t="s">
        <v>279</v>
      </c>
      <c r="B75" s="369"/>
      <c r="C75" s="342"/>
      <c r="D75" s="342"/>
      <c r="E75" s="342"/>
      <c r="F75" s="211" t="str">
        <f>IF(OR('入力シート'!C35="適用",'入力シート'!C69="適用",'入力シート'!C38="適用"),"監理技術者を配置する場合はこちらに記入してください（評価を希望しない場合は記入不要です）。","記入不要です。")</f>
        <v>記入不要です。</v>
      </c>
      <c r="G75" s="191" t="s">
        <v>318</v>
      </c>
    </row>
    <row r="76" spans="1:7" ht="17.25" customHeight="1">
      <c r="A76" s="369" t="s">
        <v>300</v>
      </c>
      <c r="B76" s="369"/>
      <c r="C76" s="335" t="str">
        <f>IF(OR('入力シート'!C38="適用",'入力シート'!C39="適用",'入力シート'!C41="適用"),"監理技術者資格者証の写し及び監理技術者講習修了証の写し","")</f>
        <v>監理技術者資格者証の写し及び監理技術者講習修了証の写し</v>
      </c>
      <c r="D76" s="335"/>
      <c r="E76" s="335"/>
      <c r="F76" s="212">
        <f>IF(OR('入力シート'!C35="適用",'入力シート'!C36="適用",'入力シート'!C38="適用"),"変更不可","")</f>
      </c>
      <c r="G76" s="191"/>
    </row>
    <row r="77" spans="1:13" ht="3.75" customHeight="1">
      <c r="A77" s="72"/>
      <c r="B77" s="72"/>
      <c r="C77" s="72"/>
      <c r="D77" s="72"/>
      <c r="E77" s="72"/>
      <c r="F77" s="72"/>
      <c r="G77" s="79"/>
      <c r="H77" s="79"/>
      <c r="I77" s="79"/>
      <c r="J77" s="79"/>
      <c r="K77" s="79"/>
      <c r="L77" s="79"/>
      <c r="M77" s="79"/>
    </row>
    <row r="78" spans="1:6" ht="17.25" customHeight="1">
      <c r="A78" s="336" t="s">
        <v>320</v>
      </c>
      <c r="B78" s="337"/>
      <c r="C78" s="337"/>
      <c r="D78" s="337"/>
      <c r="E78" s="337"/>
      <c r="F78" s="210" t="s">
        <v>282</v>
      </c>
    </row>
    <row r="79" spans="1:6" ht="12">
      <c r="A79" s="213" t="s">
        <v>279</v>
      </c>
      <c r="B79" s="346"/>
      <c r="C79" s="382"/>
      <c r="D79" s="382"/>
      <c r="E79" s="347"/>
      <c r="F79" s="214" t="str">
        <f>IF(OR('入力シート'!C35="適用",'入力シート'!C36="適用",'入力シート'!C38="適用"),"主任技術者を配置する場合はこちらに記入してください（評価を希望しない場合は記入不要です）。","記入不要です。")</f>
        <v>記入不要です。</v>
      </c>
    </row>
    <row r="80" spans="1:7" ht="36" customHeight="1">
      <c r="A80" s="383" t="s">
        <v>287</v>
      </c>
      <c r="B80" s="387" t="s">
        <v>285</v>
      </c>
      <c r="C80" s="388"/>
      <c r="D80" s="404"/>
      <c r="E80" s="405"/>
      <c r="F80" s="214">
        <f>IF(OR('入力シート'!C35="適用",'入力シート'!C36="適用",'入力シート'!C38="適用"),"国家資格等で主任技術者となった場合に記入してください。※","")</f>
      </c>
      <c r="G80" s="190"/>
    </row>
    <row r="81" spans="1:7" ht="19.5" customHeight="1">
      <c r="A81" s="384"/>
      <c r="B81" s="387" t="s">
        <v>286</v>
      </c>
      <c r="C81" s="388"/>
      <c r="D81" s="404"/>
      <c r="E81" s="405"/>
      <c r="F81" s="215">
        <f>IF(OR('入力シート'!C35="適用",'入力シート'!C36="適用",'入力シート'!C38="適用"),"証明するために添付する書類名を記入してください。※","")</f>
      </c>
      <c r="G81" s="190"/>
    </row>
    <row r="82" spans="1:7" ht="54" customHeight="1">
      <c r="A82" s="383" t="s">
        <v>288</v>
      </c>
      <c r="B82" s="404"/>
      <c r="C82" s="409"/>
      <c r="D82" s="409"/>
      <c r="E82" s="405"/>
      <c r="F82" s="214">
        <f>IF(OR('入力シート'!C35="適用",'入力シート'!C36="適用",'入力シート'!C38="適用"),"実務経験で主任技術者となった場合は、経歴の概要を記入してください。詳細は添付書類にて証明してください。※","")</f>
      </c>
      <c r="G82" s="190"/>
    </row>
    <row r="83" spans="1:7" ht="34.5" customHeight="1">
      <c r="A83" s="384"/>
      <c r="B83" s="410" t="s">
        <v>281</v>
      </c>
      <c r="C83" s="410"/>
      <c r="D83" s="350" t="str">
        <f>IF(OR('入力シート'!C37="適用",'入力シート'!C38="適用",'入力シート'!C40="適用"),"実務経験証明書第２号様式、卒業証明書の写し（資格証明の必要に応じて添付）","")</f>
        <v>実務経験証明書第２号様式、卒業証明書の写し（資格証明の必要に応じて添付）</v>
      </c>
      <c r="E83" s="351"/>
      <c r="F83" s="214">
        <f>IF(OR('入力シート'!C35="適用",'入力シート'!C36="適用",'入力シート'!C38="適用"),"変更不可。経営事項審査申請における技術職員名簿の写しでも可とします（工種に注意のこと）。","")</f>
      </c>
      <c r="G83" s="190"/>
    </row>
    <row r="84" spans="1:6" ht="17.25" customHeight="1">
      <c r="A84" s="408" t="s">
        <v>280</v>
      </c>
      <c r="B84" s="409"/>
      <c r="C84" s="409"/>
      <c r="D84" s="409"/>
      <c r="E84" s="405"/>
      <c r="F84" s="216">
        <f>IF('入力シート'!C38="適用","若手技術者として申請する場合のみ記入してください。※",IF(OR('入力シート'!C35="適用",'入力シート'!C36="適用"),"記入不要です。",""))</f>
      </c>
    </row>
    <row r="85" spans="1:6" ht="17.25" customHeight="1">
      <c r="A85" s="408"/>
      <c r="B85" s="410" t="s">
        <v>281</v>
      </c>
      <c r="C85" s="410"/>
      <c r="D85" s="334"/>
      <c r="E85" s="334"/>
      <c r="F85" s="217">
        <f>IF('入力シート'!C38="適用","証明するために添付する書類名を記入してください。※",IF(OR('入力シート'!C35="適用",'入力シート'!C36="適用"),"記入不要です。",""))</f>
      </c>
    </row>
    <row r="86" spans="1:6" ht="15.75" customHeight="1">
      <c r="A86" s="167"/>
      <c r="B86" s="167"/>
      <c r="C86" s="72"/>
      <c r="D86" s="72"/>
      <c r="E86" s="72"/>
      <c r="F86" s="202" t="s">
        <v>317</v>
      </c>
    </row>
    <row r="87" spans="1:13" ht="4.5" customHeight="1">
      <c r="A87" s="206"/>
      <c r="B87" s="72"/>
      <c r="C87" s="72"/>
      <c r="D87" s="72"/>
      <c r="E87" s="72"/>
      <c r="F87" s="72"/>
      <c r="G87" s="79"/>
      <c r="H87" s="79"/>
      <c r="I87" s="79"/>
      <c r="J87" s="79"/>
      <c r="K87" s="79"/>
      <c r="L87" s="79"/>
      <c r="M87" s="79"/>
    </row>
    <row r="88" spans="1:13" ht="15.75" customHeight="1">
      <c r="A88" s="206" t="s">
        <v>325</v>
      </c>
      <c r="B88" s="72"/>
      <c r="C88" s="72"/>
      <c r="D88" s="72"/>
      <c r="E88" s="72"/>
      <c r="F88" s="72"/>
      <c r="G88" s="79"/>
      <c r="H88" s="79"/>
      <c r="I88" s="79"/>
      <c r="J88" s="79"/>
      <c r="K88" s="79"/>
      <c r="L88" s="79"/>
      <c r="M88" s="79"/>
    </row>
    <row r="89" spans="1:13" ht="15.75" customHeight="1">
      <c r="A89" s="336" t="s">
        <v>283</v>
      </c>
      <c r="B89" s="337"/>
      <c r="C89" s="337"/>
      <c r="D89" s="337"/>
      <c r="E89" s="337"/>
      <c r="F89" s="210" t="s">
        <v>282</v>
      </c>
      <c r="G89" s="79"/>
      <c r="H89" s="79"/>
      <c r="I89" s="79"/>
      <c r="J89" s="79"/>
      <c r="K89" s="79"/>
      <c r="L89" s="79"/>
      <c r="M89" s="79"/>
    </row>
    <row r="90" spans="1:6" ht="17.25" customHeight="1">
      <c r="A90" s="370" t="s">
        <v>279</v>
      </c>
      <c r="B90" s="385"/>
      <c r="C90" s="342"/>
      <c r="D90" s="342"/>
      <c r="E90" s="342"/>
      <c r="F90" s="212" t="str">
        <f>IF('入力シート'!C38="適用","評価を希望しない場合は記入不要です。","記入不要です。")</f>
        <v>記入不要です。</v>
      </c>
    </row>
    <row r="91" spans="1:6" s="203" customFormat="1" ht="13.5" customHeight="1">
      <c r="A91" s="218"/>
      <c r="B91" s="218"/>
      <c r="C91" s="218"/>
      <c r="D91" s="218"/>
      <c r="E91" s="218"/>
      <c r="F91" s="219"/>
    </row>
    <row r="92" spans="1:13" ht="5.25" customHeight="1">
      <c r="A92" s="354"/>
      <c r="B92" s="354"/>
      <c r="C92" s="354"/>
      <c r="D92" s="354"/>
      <c r="E92" s="354"/>
      <c r="F92" s="354"/>
      <c r="G92" s="79"/>
      <c r="H92" s="79"/>
      <c r="I92" s="79"/>
      <c r="J92" s="79"/>
      <c r="K92" s="79"/>
      <c r="L92" s="79"/>
      <c r="M92" s="79"/>
    </row>
    <row r="93" spans="1:13" ht="15.75" customHeight="1">
      <c r="A93" s="206" t="s">
        <v>336</v>
      </c>
      <c r="B93" s="72"/>
      <c r="C93" s="72"/>
      <c r="D93" s="72"/>
      <c r="E93" s="72"/>
      <c r="F93" s="72"/>
      <c r="G93" s="79"/>
      <c r="H93" s="79"/>
      <c r="I93" s="79"/>
      <c r="J93" s="79"/>
      <c r="K93" s="79"/>
      <c r="L93" s="79"/>
      <c r="M93" s="79"/>
    </row>
    <row r="94" spans="1:13" ht="15.75" customHeight="1">
      <c r="A94" s="378" t="s">
        <v>284</v>
      </c>
      <c r="B94" s="379"/>
      <c r="C94" s="379"/>
      <c r="D94" s="379"/>
      <c r="E94" s="379"/>
      <c r="F94" s="210" t="s">
        <v>282</v>
      </c>
      <c r="G94" s="79"/>
      <c r="H94" s="79"/>
      <c r="I94" s="79"/>
      <c r="J94" s="79"/>
      <c r="K94" s="79"/>
      <c r="L94" s="79"/>
      <c r="M94" s="79"/>
    </row>
    <row r="95" spans="1:6" ht="17.25" customHeight="1">
      <c r="A95" s="370" t="s">
        <v>279</v>
      </c>
      <c r="B95" s="385"/>
      <c r="C95" s="342"/>
      <c r="D95" s="342"/>
      <c r="E95" s="342"/>
      <c r="F95" s="212" t="str">
        <f>IF('入力シート'!C37="適用","評価を希望しない場合は記入不要です。","記入不要です。")</f>
        <v>評価を希望しない場合は記入不要です。</v>
      </c>
    </row>
    <row r="96" spans="1:14" ht="12">
      <c r="A96" s="74"/>
      <c r="B96" s="74"/>
      <c r="C96" s="74"/>
      <c r="D96" s="74"/>
      <c r="E96" s="74"/>
      <c r="F96" s="220"/>
      <c r="G96" s="78"/>
      <c r="H96" s="78"/>
      <c r="I96" s="78"/>
      <c r="J96" s="78"/>
      <c r="K96" s="78"/>
      <c r="L96" s="79"/>
      <c r="M96" s="79"/>
      <c r="N96" s="79"/>
    </row>
    <row r="97" spans="1:6" ht="12">
      <c r="A97" s="74"/>
      <c r="B97" s="74"/>
      <c r="C97" s="75" t="s">
        <v>4</v>
      </c>
      <c r="D97" s="76" t="s">
        <v>5</v>
      </c>
      <c r="E97" s="353" t="str">
        <f>'入力シート'!E13</f>
        <v>○○　○○</v>
      </c>
      <c r="F97" s="353"/>
    </row>
    <row r="98" spans="1:6" ht="12">
      <c r="A98" s="74"/>
      <c r="B98" s="74"/>
      <c r="C98" s="74"/>
      <c r="D98" s="77" t="s">
        <v>6</v>
      </c>
      <c r="E98" s="352" t="str">
        <f>'入力シート'!E14</f>
        <v>045-999-9999</v>
      </c>
      <c r="F98" s="352"/>
    </row>
    <row r="99" spans="1:11" ht="12">
      <c r="A99" s="74"/>
      <c r="B99" s="74"/>
      <c r="C99" s="74"/>
      <c r="D99" s="77" t="s">
        <v>7</v>
      </c>
      <c r="E99" s="352" t="str">
        <f>'入力シート'!E15</f>
        <v>045-111-1111</v>
      </c>
      <c r="F99" s="352"/>
      <c r="G99" s="78"/>
      <c r="H99" s="78"/>
      <c r="I99" s="78"/>
      <c r="J99" s="78"/>
      <c r="K99" s="78"/>
    </row>
    <row r="100" spans="6:14" ht="12">
      <c r="F100" s="78"/>
      <c r="G100" s="78"/>
      <c r="H100" s="78"/>
      <c r="I100" s="78"/>
      <c r="J100" s="78"/>
      <c r="K100" s="78"/>
      <c r="L100" s="79"/>
      <c r="M100" s="79"/>
      <c r="N100" s="79"/>
    </row>
    <row r="101" spans="6:14" ht="12">
      <c r="F101" s="78"/>
      <c r="G101" s="78"/>
      <c r="H101" s="78"/>
      <c r="I101" s="78"/>
      <c r="J101" s="78"/>
      <c r="K101" s="78"/>
      <c r="L101" s="79"/>
      <c r="M101" s="79"/>
      <c r="N101" s="79"/>
    </row>
    <row r="102" spans="6:14" ht="12">
      <c r="F102" s="79"/>
      <c r="G102" s="79"/>
      <c r="H102" s="79"/>
      <c r="I102" s="79"/>
      <c r="J102" s="79"/>
      <c r="K102" s="79"/>
      <c r="L102" s="79"/>
      <c r="M102" s="79"/>
      <c r="N102" s="79"/>
    </row>
    <row r="103" spans="6:14" ht="12">
      <c r="F103" s="79"/>
      <c r="G103" s="79"/>
      <c r="H103" s="79"/>
      <c r="I103" s="79"/>
      <c r="J103" s="79"/>
      <c r="K103" s="79"/>
      <c r="L103" s="79"/>
      <c r="M103" s="79"/>
      <c r="N103" s="79"/>
    </row>
    <row r="104" spans="6:14" ht="12">
      <c r="F104" s="79"/>
      <c r="G104" s="79"/>
      <c r="H104" s="79"/>
      <c r="I104" s="79"/>
      <c r="J104" s="79"/>
      <c r="K104" s="79"/>
      <c r="L104" s="79"/>
      <c r="M104" s="79"/>
      <c r="N104" s="79"/>
    </row>
  </sheetData>
  <sheetProtection password="E7B6" sheet="1" formatCells="0" formatRows="0" insertRows="0"/>
  <mergeCells count="111">
    <mergeCell ref="A75:B75"/>
    <mergeCell ref="E46:F46"/>
    <mergeCell ref="C90:E90"/>
    <mergeCell ref="A74:E74"/>
    <mergeCell ref="A82:A83"/>
    <mergeCell ref="B82:E82"/>
    <mergeCell ref="B83:C83"/>
    <mergeCell ref="D83:E83"/>
    <mergeCell ref="A80:A81"/>
    <mergeCell ref="B80:C80"/>
    <mergeCell ref="D80:E80"/>
    <mergeCell ref="D81:E81"/>
    <mergeCell ref="A89:E89"/>
    <mergeCell ref="A49:A52"/>
    <mergeCell ref="B49:B52"/>
    <mergeCell ref="D65:E65"/>
    <mergeCell ref="A68:F68"/>
    <mergeCell ref="A84:A85"/>
    <mergeCell ref="B84:E84"/>
    <mergeCell ref="B85:C85"/>
    <mergeCell ref="A64:A66"/>
    <mergeCell ref="D6:E6"/>
    <mergeCell ref="D7:E7"/>
    <mergeCell ref="D8:D11"/>
    <mergeCell ref="A13:F13"/>
    <mergeCell ref="A25:A29"/>
    <mergeCell ref="C20:E20"/>
    <mergeCell ref="A19:F19"/>
    <mergeCell ref="F22:F24"/>
    <mergeCell ref="D24:E24"/>
    <mergeCell ref="B79:E79"/>
    <mergeCell ref="D41:E41"/>
    <mergeCell ref="D37:E37"/>
    <mergeCell ref="E47:F47"/>
    <mergeCell ref="D25:E25"/>
    <mergeCell ref="C31:C32"/>
    <mergeCell ref="D30:E30"/>
    <mergeCell ref="E26:F26"/>
    <mergeCell ref="B64:B66"/>
    <mergeCell ref="D56:E56"/>
    <mergeCell ref="D27:E27"/>
    <mergeCell ref="D29:E29"/>
    <mergeCell ref="A95:B95"/>
    <mergeCell ref="A21:A24"/>
    <mergeCell ref="B21:B24"/>
    <mergeCell ref="D21:E21"/>
    <mergeCell ref="C75:E75"/>
    <mergeCell ref="B30:B32"/>
    <mergeCell ref="B81:C81"/>
    <mergeCell ref="A90:B90"/>
    <mergeCell ref="A94:E94"/>
    <mergeCell ref="E28:F28"/>
    <mergeCell ref="C95:E95"/>
    <mergeCell ref="D50:E50"/>
    <mergeCell ref="D52:E52"/>
    <mergeCell ref="D54:E54"/>
    <mergeCell ref="D61:E61"/>
    <mergeCell ref="A76:B76"/>
    <mergeCell ref="D66:E66"/>
    <mergeCell ref="C65:C66"/>
    <mergeCell ref="D22:E22"/>
    <mergeCell ref="B55:B57"/>
    <mergeCell ref="B59:B60"/>
    <mergeCell ref="A55:A57"/>
    <mergeCell ref="D60:E60"/>
    <mergeCell ref="B43:B48"/>
    <mergeCell ref="D35:E35"/>
    <mergeCell ref="A30:A32"/>
    <mergeCell ref="D23:E23"/>
    <mergeCell ref="B25:B29"/>
    <mergeCell ref="A40:A42"/>
    <mergeCell ref="A43:A48"/>
    <mergeCell ref="E45:F45"/>
    <mergeCell ref="D53:E53"/>
    <mergeCell ref="D42:E42"/>
    <mergeCell ref="D43:E43"/>
    <mergeCell ref="D45:D46"/>
    <mergeCell ref="E44:F44"/>
    <mergeCell ref="F35:F36"/>
    <mergeCell ref="B40:B42"/>
    <mergeCell ref="E38:F38"/>
    <mergeCell ref="B33:B39"/>
    <mergeCell ref="D36:E36"/>
    <mergeCell ref="D34:E34"/>
    <mergeCell ref="D59:E59"/>
    <mergeCell ref="A62:A63"/>
    <mergeCell ref="C45:C46"/>
    <mergeCell ref="E48:F48"/>
    <mergeCell ref="E49:F49"/>
    <mergeCell ref="E51:F51"/>
    <mergeCell ref="A53:A54"/>
    <mergeCell ref="A33:A39"/>
    <mergeCell ref="D33:E33"/>
    <mergeCell ref="E40:F40"/>
    <mergeCell ref="E99:F99"/>
    <mergeCell ref="E97:F97"/>
    <mergeCell ref="E98:F98"/>
    <mergeCell ref="A92:F92"/>
    <mergeCell ref="D62:E62"/>
    <mergeCell ref="E39:F39"/>
    <mergeCell ref="D64:E64"/>
    <mergeCell ref="D85:E85"/>
    <mergeCell ref="C76:E76"/>
    <mergeCell ref="A78:E78"/>
    <mergeCell ref="B62:B63"/>
    <mergeCell ref="B53:B54"/>
    <mergeCell ref="D55:E55"/>
    <mergeCell ref="D57:E57"/>
    <mergeCell ref="D63:E63"/>
    <mergeCell ref="A59:A60"/>
    <mergeCell ref="D58:E58"/>
  </mergeCells>
  <dataValidations count="11">
    <dataValidation allowBlank="1" showInputMessage="1" showErrorMessage="1" imeMode="halfAlpha" sqref="F100:K101 F96:K96"/>
    <dataValidation type="list" showInputMessage="1" showErrorMessage="1" sqref="D28 D26 D49 D38 D51 D47 D40">
      <formula1>"する,しない"</formula1>
    </dataValidation>
    <dataValidation type="list" showInputMessage="1" showErrorMessage="1" sqref="D62:E62 D58:E59 D53">
      <formula1>"有,無"</formula1>
    </dataValidation>
    <dataValidation type="list" showInputMessage="1" showErrorMessage="1" sqref="E31:E32 D44">
      <formula1>"平成22年度,平成23年度,平成24年度,平成25年度,平成26年度,平成27年度"</formula1>
    </dataValidation>
    <dataValidation type="list" showInputMessage="1" showErrorMessage="1" sqref="D64:E64">
      <formula1>"ブルドーザー,ドーザーショベル,掘削機,モーターグレーダー,トラッククレーン,クローラークレーン,油圧式クレーン,クレーン付きトラック,タイヤショベル,振動ローラ,大型ダンプ車"</formula1>
    </dataValidation>
    <dataValidation type="list" showInputMessage="1" showErrorMessage="1" sqref="D56:E56">
      <formula1>"鶴見区,神奈川区,西区,中区,南区,港南区,保土ケ谷区,旭区,磯子区,金沢区,港北区,緑区,青葉区,都筑区,戸塚区,泉区,栄区,瀬谷区"</formula1>
    </dataValidation>
    <dataValidation type="list" allowBlank="1" showInputMessage="1" sqref="D85:E85">
      <formula1>"【記入例】　普通自動車第一種免許（写）"</formula1>
    </dataValidation>
    <dataValidation type="list" allowBlank="1" showInputMessage="1" sqref="B84:E84">
      <formula1>"【記入例】　1980年8月20日"</formula1>
    </dataValidation>
    <dataValidation type="list" allowBlank="1" showInputMessage="1" sqref="D81:E81">
      <formula1>"【記入例】　合格証明書の写し"</formula1>
    </dataValidation>
    <dataValidation type="list" allowBlank="1" showInputMessage="1" sqref="D80:E80">
      <formula1>"【記入例】　２級建設機械施工技士"</formula1>
    </dataValidation>
    <dataValidation type="list" allowBlank="1" showInputMessage="1" sqref="B82:E82">
      <formula1>"【記入例】高等学校の○○学科を卒業後、◯年の実務経験有り。"</formula1>
    </dataValidation>
  </dataValidations>
  <printOptions/>
  <pageMargins left="0.7086614173228347" right="0.15748031496062992" top="0.5118110236220472" bottom="0.54" header="0.15748031496062992" footer="0.1968503937007874"/>
  <pageSetup fitToHeight="0" fitToWidth="1" horizontalDpi="600" verticalDpi="600" orientation="portrait" paperSize="9" scale="83" r:id="rId2"/>
  <headerFooter alignWithMargins="0">
    <oddFooter>&amp;C第1号様式の2ページ目の添付忘れにご注意ください。</oddFooter>
  </headerFooter>
  <rowBreaks count="1" manualBreakCount="1">
    <brk id="48" max="5" man="1"/>
  </rowBreaks>
  <drawing r:id="rId1"/>
</worksheet>
</file>

<file path=xl/worksheets/sheet6.xml><?xml version="1.0" encoding="utf-8"?>
<worksheet xmlns="http://schemas.openxmlformats.org/spreadsheetml/2006/main" xmlns:r="http://schemas.openxmlformats.org/officeDocument/2006/relationships">
  <dimension ref="B1:G32"/>
  <sheetViews>
    <sheetView zoomScalePageLayoutView="0" workbookViewId="0" topLeftCell="A1">
      <selection activeCell="A1" sqref="A1"/>
    </sheetView>
  </sheetViews>
  <sheetFormatPr defaultColWidth="9.00390625" defaultRowHeight="13.5"/>
  <cols>
    <col min="1" max="1" width="0.6171875" style="183" customWidth="1"/>
    <col min="2" max="2" width="14.375" style="183" customWidth="1"/>
    <col min="3" max="3" width="10.00390625" style="183" customWidth="1"/>
    <col min="4" max="4" width="21.25390625" style="183" customWidth="1"/>
    <col min="5" max="5" width="14.25390625" style="183" customWidth="1"/>
    <col min="6" max="6" width="24.375" style="183" customWidth="1"/>
    <col min="7" max="7" width="3.75390625" style="183" customWidth="1"/>
    <col min="8" max="8" width="0.5" style="183" customWidth="1"/>
    <col min="9" max="16384" width="9.00390625" style="183" customWidth="1"/>
  </cols>
  <sheetData>
    <row r="1" spans="6:7" ht="13.5">
      <c r="F1" s="413" t="s">
        <v>335</v>
      </c>
      <c r="G1" s="413"/>
    </row>
    <row r="2" spans="2:7" ht="18.75">
      <c r="B2" s="427" t="s">
        <v>315</v>
      </c>
      <c r="C2" s="427"/>
      <c r="D2" s="427"/>
      <c r="E2" s="427"/>
      <c r="F2" s="427"/>
      <c r="G2" s="427"/>
    </row>
    <row r="4" spans="2:7" ht="13.5" customHeight="1">
      <c r="B4" s="426" t="s">
        <v>302</v>
      </c>
      <c r="C4" s="426"/>
      <c r="D4" s="426"/>
      <c r="E4" s="426"/>
      <c r="F4" s="426"/>
      <c r="G4" s="426"/>
    </row>
    <row r="5" spans="2:7" ht="13.5">
      <c r="B5" s="426"/>
      <c r="C5" s="426"/>
      <c r="D5" s="426"/>
      <c r="E5" s="426"/>
      <c r="F5" s="426"/>
      <c r="G5" s="426"/>
    </row>
    <row r="6" ht="13.5">
      <c r="F6" s="183" t="s">
        <v>313</v>
      </c>
    </row>
    <row r="7" ht="27.75" customHeight="1">
      <c r="E7" s="183" t="s">
        <v>10</v>
      </c>
    </row>
    <row r="8" spans="4:7" ht="27.75" customHeight="1">
      <c r="D8" s="184" t="s">
        <v>303</v>
      </c>
      <c r="E8" s="183" t="s">
        <v>9</v>
      </c>
      <c r="G8" s="183" t="s">
        <v>305</v>
      </c>
    </row>
    <row r="9" ht="27.75" customHeight="1">
      <c r="E9" s="183" t="s">
        <v>304</v>
      </c>
    </row>
    <row r="10" ht="8.25" customHeight="1"/>
    <row r="11" spans="2:7" ht="36" customHeight="1">
      <c r="B11" s="187" t="s">
        <v>306</v>
      </c>
      <c r="C11" s="424"/>
      <c r="D11" s="425"/>
      <c r="E11" s="188" t="s">
        <v>311</v>
      </c>
      <c r="F11" s="428" t="s">
        <v>312</v>
      </c>
      <c r="G11" s="429"/>
    </row>
    <row r="12" spans="2:7" ht="28.5" customHeight="1">
      <c r="B12" s="422" t="s">
        <v>307</v>
      </c>
      <c r="C12" s="423"/>
      <c r="D12" s="186" t="s">
        <v>308</v>
      </c>
      <c r="E12" s="186" t="s">
        <v>309</v>
      </c>
      <c r="F12" s="430" t="s">
        <v>310</v>
      </c>
      <c r="G12" s="431"/>
    </row>
    <row r="13" spans="2:7" ht="28.5" customHeight="1">
      <c r="B13" s="418"/>
      <c r="C13" s="419"/>
      <c r="D13" s="189" t="s">
        <v>314</v>
      </c>
      <c r="E13" s="189"/>
      <c r="F13" s="414"/>
      <c r="G13" s="415"/>
    </row>
    <row r="14" spans="2:7" ht="28.5" customHeight="1">
      <c r="B14" s="418"/>
      <c r="C14" s="419"/>
      <c r="D14" s="189" t="s">
        <v>314</v>
      </c>
      <c r="E14" s="189"/>
      <c r="F14" s="414"/>
      <c r="G14" s="415"/>
    </row>
    <row r="15" spans="2:7" ht="28.5" customHeight="1">
      <c r="B15" s="418"/>
      <c r="C15" s="419"/>
      <c r="D15" s="189" t="s">
        <v>314</v>
      </c>
      <c r="E15" s="189"/>
      <c r="F15" s="414"/>
      <c r="G15" s="415"/>
    </row>
    <row r="16" spans="2:7" ht="28.5" customHeight="1">
      <c r="B16" s="418"/>
      <c r="C16" s="419"/>
      <c r="D16" s="189" t="s">
        <v>314</v>
      </c>
      <c r="E16" s="189"/>
      <c r="F16" s="414"/>
      <c r="G16" s="415"/>
    </row>
    <row r="17" spans="2:7" ht="28.5" customHeight="1">
      <c r="B17" s="418"/>
      <c r="C17" s="419"/>
      <c r="D17" s="189" t="s">
        <v>314</v>
      </c>
      <c r="E17" s="189"/>
      <c r="F17" s="414"/>
      <c r="G17" s="415"/>
    </row>
    <row r="18" spans="2:7" ht="28.5" customHeight="1">
      <c r="B18" s="418"/>
      <c r="C18" s="419"/>
      <c r="D18" s="189" t="s">
        <v>314</v>
      </c>
      <c r="E18" s="189"/>
      <c r="F18" s="414"/>
      <c r="G18" s="415"/>
    </row>
    <row r="19" spans="2:7" ht="28.5" customHeight="1">
      <c r="B19" s="418"/>
      <c r="C19" s="419"/>
      <c r="D19" s="189" t="s">
        <v>314</v>
      </c>
      <c r="E19" s="189"/>
      <c r="F19" s="414"/>
      <c r="G19" s="415"/>
    </row>
    <row r="20" spans="2:7" ht="28.5" customHeight="1">
      <c r="B20" s="418"/>
      <c r="C20" s="419"/>
      <c r="D20" s="189" t="s">
        <v>314</v>
      </c>
      <c r="E20" s="189"/>
      <c r="F20" s="414"/>
      <c r="G20" s="415"/>
    </row>
    <row r="21" spans="2:7" ht="28.5" customHeight="1">
      <c r="B21" s="418"/>
      <c r="C21" s="419"/>
      <c r="D21" s="189" t="s">
        <v>314</v>
      </c>
      <c r="E21" s="189"/>
      <c r="F21" s="414"/>
      <c r="G21" s="415"/>
    </row>
    <row r="22" spans="2:7" ht="28.5" customHeight="1">
      <c r="B22" s="418"/>
      <c r="C22" s="419"/>
      <c r="D22" s="189" t="s">
        <v>314</v>
      </c>
      <c r="E22" s="189"/>
      <c r="F22" s="414"/>
      <c r="G22" s="415"/>
    </row>
    <row r="23" spans="2:7" ht="28.5" customHeight="1">
      <c r="B23" s="418"/>
      <c r="C23" s="419"/>
      <c r="D23" s="189" t="s">
        <v>314</v>
      </c>
      <c r="E23" s="189"/>
      <c r="F23" s="414"/>
      <c r="G23" s="415"/>
    </row>
    <row r="24" spans="2:7" ht="28.5" customHeight="1">
      <c r="B24" s="418"/>
      <c r="C24" s="419"/>
      <c r="D24" s="189" t="s">
        <v>314</v>
      </c>
      <c r="E24" s="189"/>
      <c r="F24" s="414"/>
      <c r="G24" s="415"/>
    </row>
    <row r="25" spans="2:7" ht="28.5" customHeight="1">
      <c r="B25" s="418"/>
      <c r="C25" s="419"/>
      <c r="D25" s="189" t="s">
        <v>314</v>
      </c>
      <c r="E25" s="189"/>
      <c r="F25" s="414"/>
      <c r="G25" s="415"/>
    </row>
    <row r="26" spans="2:7" ht="28.5" customHeight="1">
      <c r="B26" s="418"/>
      <c r="C26" s="419"/>
      <c r="D26" s="189" t="s">
        <v>314</v>
      </c>
      <c r="E26" s="189"/>
      <c r="F26" s="414"/>
      <c r="G26" s="415"/>
    </row>
    <row r="27" spans="2:7" ht="28.5" customHeight="1">
      <c r="B27" s="418"/>
      <c r="C27" s="419"/>
      <c r="D27" s="189" t="s">
        <v>314</v>
      </c>
      <c r="E27" s="189"/>
      <c r="F27" s="414"/>
      <c r="G27" s="415"/>
    </row>
    <row r="28" spans="2:7" ht="28.5" customHeight="1">
      <c r="B28" s="418"/>
      <c r="C28" s="419"/>
      <c r="D28" s="189" t="s">
        <v>314</v>
      </c>
      <c r="E28" s="189"/>
      <c r="F28" s="414"/>
      <c r="G28" s="415"/>
    </row>
    <row r="29" spans="2:7" ht="28.5" customHeight="1">
      <c r="B29" s="418"/>
      <c r="C29" s="419"/>
      <c r="D29" s="189" t="s">
        <v>314</v>
      </c>
      <c r="E29" s="189"/>
      <c r="F29" s="414"/>
      <c r="G29" s="415"/>
    </row>
    <row r="30" spans="2:7" ht="28.5" customHeight="1">
      <c r="B30" s="418"/>
      <c r="C30" s="419"/>
      <c r="D30" s="189" t="s">
        <v>314</v>
      </c>
      <c r="E30" s="189"/>
      <c r="F30" s="414"/>
      <c r="G30" s="415"/>
    </row>
    <row r="31" spans="2:7" ht="28.5" customHeight="1">
      <c r="B31" s="420"/>
      <c r="C31" s="421"/>
      <c r="D31" s="185" t="s">
        <v>314</v>
      </c>
      <c r="E31" s="185"/>
      <c r="F31" s="416"/>
      <c r="G31" s="417"/>
    </row>
    <row r="32" ht="13.5">
      <c r="B32" s="183" t="s">
        <v>316</v>
      </c>
    </row>
  </sheetData>
  <sheetProtection/>
  <mergeCells count="45">
    <mergeCell ref="B12:C12"/>
    <mergeCell ref="B13:C13"/>
    <mergeCell ref="C11:D11"/>
    <mergeCell ref="B4:G5"/>
    <mergeCell ref="B2:G2"/>
    <mergeCell ref="F11:G11"/>
    <mergeCell ref="F12:G12"/>
    <mergeCell ref="F13:G13"/>
    <mergeCell ref="B14:C14"/>
    <mergeCell ref="B15:C15"/>
    <mergeCell ref="B16:C16"/>
    <mergeCell ref="B17:C17"/>
    <mergeCell ref="B18:C18"/>
    <mergeCell ref="B19:C19"/>
    <mergeCell ref="B30:C30"/>
    <mergeCell ref="B31:C31"/>
    <mergeCell ref="B20:C20"/>
    <mergeCell ref="B21:C21"/>
    <mergeCell ref="B22:C22"/>
    <mergeCell ref="B23:C23"/>
    <mergeCell ref="B24:C24"/>
    <mergeCell ref="B25:C25"/>
    <mergeCell ref="F18:G18"/>
    <mergeCell ref="F19:G19"/>
    <mergeCell ref="B26:C26"/>
    <mergeCell ref="B27:C27"/>
    <mergeCell ref="B28:C28"/>
    <mergeCell ref="B29:C29"/>
    <mergeCell ref="F31:G31"/>
    <mergeCell ref="F20:G20"/>
    <mergeCell ref="F21:G21"/>
    <mergeCell ref="F22:G22"/>
    <mergeCell ref="F23:G23"/>
    <mergeCell ref="F24:G24"/>
    <mergeCell ref="F25:G25"/>
    <mergeCell ref="F1:G1"/>
    <mergeCell ref="F26:G26"/>
    <mergeCell ref="F27:G27"/>
    <mergeCell ref="F28:G28"/>
    <mergeCell ref="F29:G29"/>
    <mergeCell ref="F30:G30"/>
    <mergeCell ref="F14:G14"/>
    <mergeCell ref="F15:G15"/>
    <mergeCell ref="F16:G16"/>
    <mergeCell ref="F17:G1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2015-09-17T02:49:20Z</dcterms:modified>
  <cp:category/>
  <cp:version/>
  <cp:contentType/>
  <cp:contentStatus/>
</cp:coreProperties>
</file>