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390" windowHeight="11325" activeTab="0"/>
  </bookViews>
  <sheets>
    <sheet name="入力シート" sheetId="1" r:id="rId1"/>
    <sheet name="実施要領書(表紙)" sheetId="2" r:id="rId2"/>
    <sheet name="実施要領書(簡易型）本文"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Area" localSheetId="4">'簡易型第１号様式'!$A$1:$F$97</definedName>
    <definedName name="_xlnm.Print_Area" localSheetId="3">'実施要領書(簡易型)別表'!$A$1:$H$88</definedName>
    <definedName name="_xlnm.Print_Titles" localSheetId="4">'簡易型第１号様式'!$31:$31</definedName>
    <definedName name="_xlnm.Print_Titles" localSheetId="3">'実施要領書(簡易型)別表'!$3:$3</definedName>
  </definedNames>
  <calcPr fullCalcOnLoad="1"/>
</workbook>
</file>

<file path=xl/sharedStrings.xml><?xml version="1.0" encoding="utf-8"?>
<sst xmlns="http://schemas.openxmlformats.org/spreadsheetml/2006/main" count="527" uniqueCount="389">
  <si>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</si>
  <si>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</si>
  <si>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</si>
  <si>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</si>
  <si>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</si>
  <si>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</si>
  <si>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</si>
  <si>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</si>
  <si>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</si>
  <si>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</si>
  <si>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</si>
  <si>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</si>
  <si>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</si>
  <si>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</si>
  <si>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</si>
  <si>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</si>
  <si>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</si>
  <si>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</si>
  <si>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</si>
  <si>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</si>
  <si>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</si>
  <si>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</si>
  <si>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</si>
  <si>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</si>
  <si>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</si>
  <si>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</si>
  <si>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</si>
  <si>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</si>
  <si>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</si>
  <si>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</si>
  <si>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</si>
  <si>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</si>
  <si>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</si>
  <si>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</si>
  <si>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</si>
  <si>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</si>
  <si>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</si>
  <si>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</si>
  <si>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</si>
  <si>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</si>
  <si>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</si>
  <si>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</si>
  <si>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</si>
  <si>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</si>
  <si>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</si>
  <si>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</si>
  <si>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</si>
  <si>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</si>
  <si>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</si>
  <si>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</si>
  <si>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</si>
  <si>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</si>
  <si>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</si>
  <si>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</si>
  <si>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</si>
  <si>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</si>
  <si>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</si>
  <si>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</si>
  <si>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</si>
  <si>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</si>
  <si>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</si>
  <si>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</si>
  <si>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</si>
  <si>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</si>
  <si>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</si>
  <si>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</si>
  <si>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</si>
  <si>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</si>
  <si>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</si>
  <si>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</si>
  <si>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</si>
  <si>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</si>
  <si>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</si>
  <si>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</si>
  <si>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</si>
  <si>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</si>
  <si>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</si>
  <si>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</si>
  <si>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</si>
  <si>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</si>
  <si>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</si>
  <si>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</si>
  <si>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</si>
  <si>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</si>
  <si>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</si>
  <si>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</si>
  <si>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</si>
  <si>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</si>
  <si>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</si>
  <si>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</si>
  <si>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</si>
  <si>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</si>
  <si>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</si>
  <si>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各評価項目の満点の合計</t>
  </si>
  <si>
    <t>評価
項目</t>
  </si>
  <si>
    <t>具体的
評価項目</t>
  </si>
  <si>
    <t>添付
資料</t>
  </si>
  <si>
    <t>技術資料作成に関する質問書提出期限</t>
  </si>
  <si>
    <t>技術資料作成に関する回答日</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</si>
  <si>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</si>
  <si>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</si>
  <si>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</si>
  <si>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</si>
  <si>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</si>
  <si>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</si>
  <si>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</si>
  <si>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</si>
  <si>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</si>
  <si>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</si>
  <si>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</si>
  <si>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</si>
  <si>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</si>
  <si>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</si>
  <si>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</si>
  <si>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</si>
  <si>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</si>
  <si>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添付様式</t>
  </si>
  <si>
    <t>内容</t>
  </si>
  <si>
    <t>日程</t>
  </si>
  <si>
    <t>技術資料作成に関する質問書に対する回答</t>
  </si>
  <si>
    <t>技術資料受付期間（入札期間）</t>
  </si>
  <si>
    <t>技術資料受付開始
(入札開始)</t>
  </si>
  <si>
    <t>技術資料受付終了
(入札終了)</t>
  </si>
  <si>
    <t>評価結果公表日</t>
  </si>
  <si>
    <t>適用</t>
  </si>
  <si>
    <t>配置予定技術者の施工経験</t>
  </si>
  <si>
    <t>品質管理マネジメントシステムの取組状況</t>
  </si>
  <si>
    <t>定義</t>
  </si>
  <si>
    <t>用語</t>
  </si>
  <si>
    <t>配置予定技術者の資格</t>
  </si>
  <si>
    <t>技術資料提出書（簡易型）</t>
  </si>
  <si>
    <t>（表紙）</t>
  </si>
  <si>
    <t>企業の施工能力（※4）</t>
  </si>
  <si>
    <t>配置予定技術者の施工経験（※5）</t>
  </si>
  <si>
    <t>配置予定技術者の資格（※5）</t>
  </si>
  <si>
    <t>総合評価落札方式実施要領書</t>
  </si>
  <si>
    <t>横浜市</t>
  </si>
  <si>
    <t>（簡易型）</t>
  </si>
  <si>
    <t>平成　　年　　月</t>
  </si>
  <si>
    <t>※共同企業体名（ＪＶコード）</t>
  </si>
  <si>
    <t>（共同企業体の場合は共同企業体のＪＶコード）</t>
  </si>
  <si>
    <t>別表</t>
  </si>
  <si>
    <t>指定の様式に会社名、担当者等を記入し、他の様式、添付書類を確認のうえ、押印してください。</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</si>
  <si>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</si>
  <si>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</si>
  <si>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</si>
  <si>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</si>
  <si>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</si>
  <si>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</si>
  <si>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</si>
  <si>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</si>
  <si>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</si>
  <si>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</si>
  <si>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</si>
  <si>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</si>
  <si>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</si>
  <si>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</si>
  <si>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工程管理○○○○○○○○○○○○○○○○○○○○○○○○○○○○</t>
  </si>
  <si>
    <t>施工上の課題○○○○○○○○○○○○○○○○○○○○○○○○○○</t>
  </si>
  <si>
    <t>安全管理○○○○○○○○○○○○○○○○○○○○○○○○○○○○</t>
  </si>
  <si>
    <t>環境負荷○○○○○○○○○○○○○○○○○○○○○○○○○○○○</t>
  </si>
  <si>
    <t>設備</t>
  </si>
  <si>
    <t>○○区</t>
  </si>
  <si>
    <t>横浜市優良工事施工会社表彰の実績</t>
  </si>
  <si>
    <t>横浜市優良工事施工会社表彰の実績</t>
  </si>
  <si>
    <t>配置予定現場代理人の横浜市優良工事現場責任者表彰の実績</t>
  </si>
  <si>
    <t>横浜市優良工事現場責任者表彰の実績</t>
  </si>
  <si>
    <t>配置予定現場代理人の横浜市優良工事現場責任者表彰の実績（※5）</t>
  </si>
  <si>
    <t>総合評価落札方式実施要領書(簡易型)</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</si>
  <si>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</si>
  <si>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</si>
  <si>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</si>
  <si>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　横浜市請負工事等総合評価落札方式実施要綱（以下「実施要綱」という。）第３条の規定に基づき、入札者の施工能力等と入札価格を一体として評価することが妥当と認められる工事のため。</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</si>
  <si>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</si>
  <si>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</si>
  <si>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</si>
  <si>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</si>
  <si>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</si>
  <si>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</si>
  <si>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</si>
  <si>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</si>
  <si>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</si>
  <si>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</si>
  <si>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</si>
  <si>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</si>
  <si>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</si>
  <si>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</si>
  <si>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</si>
  <si>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</si>
  <si>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</si>
  <si>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</si>
  <si>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</si>
  <si>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</si>
  <si>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</si>
  <si>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評価項目「同種工事の施工実績」において評価対象とする「同種工事」</t>
  </si>
  <si>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</si>
  <si>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</si>
  <si>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</si>
  <si>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</si>
  <si>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</si>
  <si>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</si>
  <si>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</si>
  <si>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</si>
  <si>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</si>
  <si>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</si>
  <si>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</si>
  <si>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</si>
  <si>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</si>
  <si>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</si>
  <si>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</si>
  <si>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</si>
  <si>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</si>
  <si>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</si>
  <si>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</si>
  <si>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</si>
  <si>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</si>
  <si>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</si>
  <si>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</si>
  <si>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　提出された技術資料のうち、技術提案または簡易な施工計画に、以下の項目に一つでも該当する場合は、不適切な内容とみなし欠格とします。この場合、技術評価点を計算せず、落札者としません。</t>
  </si>
  <si>
    <t>　内容の記載がないもの。（工程管理に係る技術的所見にあっては、工程表と技術的所見のいずれか）</t>
  </si>
  <si>
    <t>　様式の提出がないもの。</t>
  </si>
  <si>
    <t>　関係法令等に抵触する恐れがあるもの。</t>
  </si>
  <si>
    <t>　工事請負契約約款の内容及び設計図書の要件（工期、仕様等）を満たしていないもの。</t>
  </si>
  <si>
    <t>　無関係な事項のみが記載されているもの。</t>
  </si>
  <si>
    <t>(6)</t>
  </si>
  <si>
    <t>　「４　技術資料の具体的評価項目と用語の定義」で指定した具体的評価項目を変更しているもの。</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</si>
  <si>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</si>
  <si>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</si>
  <si>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</si>
  <si>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</si>
  <si>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</si>
  <si>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</si>
  <si>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</si>
  <si>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</si>
  <si>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</si>
  <si>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</si>
  <si>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</si>
  <si>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</si>
  <si>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</si>
  <si>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</si>
  <si>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</si>
  <si>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</si>
  <si>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</si>
  <si>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</si>
  <si>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</si>
  <si>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</si>
  <si>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</si>
  <si>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</si>
  <si>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</si>
  <si>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</si>
  <si>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</si>
  <si>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</si>
  <si>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</si>
  <si>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</si>
  <si>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</si>
  <si>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</si>
  <si>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</si>
  <si>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</si>
  <si>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</si>
  <si>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</si>
  <si>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</si>
  <si>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</si>
  <si>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12  技術提案等が達成されなかったときの取扱</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</si>
  <si>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</si>
  <si>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</si>
  <si>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</si>
  <si>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</si>
  <si>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</si>
  <si>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</si>
  <si>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</si>
  <si>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</si>
  <si>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</si>
  <si>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</si>
  <si>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第１号様式（11）</t>
  </si>
  <si>
    <t>評価基準値を記入してください（整数％）。
（例：市内企業への発注割合が50％以上を評価し、75％以上をより高く評価する→上段に75、下段に50を記入）</t>
  </si>
  <si>
    <t>第１号様式（12）</t>
  </si>
  <si>
    <t>第１号様式（13）</t>
  </si>
  <si>
    <t>※１</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</si>
  <si>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</si>
  <si>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</si>
  <si>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</si>
  <si>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</si>
  <si>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</si>
  <si>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</si>
  <si>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※６</t>
  </si>
  <si>
    <t>　配置予定技術者については、調達公告の入札参加資格「技術者」及び「その他」を、配置予定現場代理人については、調達公告の入札参加資格「その他」を参照してください。</t>
  </si>
  <si>
    <t>※７</t>
  </si>
  <si>
    <r>
      <t>評価項目「工事成績評定点の実績」において評価対象とする「登録工種」</t>
    </r>
    <r>
      <rPr>
        <sz val="9"/>
        <color indexed="8"/>
        <rFont val="ＭＳ Ｐ明朝"/>
        <family val="1"/>
      </rPr>
      <t>　</t>
    </r>
    <r>
      <rPr>
        <sz val="10"/>
        <color indexed="8"/>
        <rFont val="ＭＳ Ｐ明朝"/>
        <family val="1"/>
      </rPr>
      <t>※１</t>
    </r>
  </si>
  <si>
    <t>その他（企業の社会性・信頼性に資する項目）</t>
  </si>
  <si>
    <t>地域精通度・地域との密着度</t>
  </si>
  <si>
    <t>災害協力</t>
  </si>
  <si>
    <t>環境に対する姿勢</t>
  </si>
  <si>
    <t>地域への貢献</t>
  </si>
  <si>
    <t>災害発生時の対応力</t>
  </si>
  <si>
    <t>若手技術者の育成</t>
  </si>
  <si>
    <t>第１号様式（14）</t>
  </si>
  <si>
    <t>適用する場合は、別表及び第1号様式を直接修正します。</t>
  </si>
  <si>
    <t>その他（企業の施工能力に資する項目）</t>
  </si>
  <si>
    <t>その他（企業の社会性・信頼性に資する項目）</t>
  </si>
  <si>
    <t>地域精通度・地域との密着度</t>
  </si>
  <si>
    <t>災害協力</t>
  </si>
  <si>
    <t>環境に対する姿勢</t>
  </si>
  <si>
    <t>市内経済への貢献</t>
  </si>
  <si>
    <t>地域への貢献</t>
  </si>
  <si>
    <t>災害発生時の対応力</t>
  </si>
  <si>
    <t>その他（企業の施工能力に資する項目）</t>
  </si>
  <si>
    <t>市内経済への貢献</t>
  </si>
  <si>
    <t>評価項目「地域精通度・地域との密着度」において評価基準とする「工事施工場所の行政区」</t>
  </si>
  <si>
    <t>※8</t>
  </si>
  <si>
    <t>地域精通度・地域との密着度</t>
  </si>
  <si>
    <t>※9</t>
  </si>
  <si>
    <t>　技術資料における技術評価点とは異なる評価点となる技術者及び現場代理人を配置した場合は「12　技術提案等が達成されなかったときの取扱」の対象となります。</t>
  </si>
  <si>
    <t>若手技術者の育成（※5）</t>
  </si>
  <si>
    <t>・本項目は契約後の下請負契約の予定を評価するものです。評価基準を下回る実施結果となった場合は「12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</si>
  <si>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　提出後の技術資料の変更及び追加等は、（４）に定める提出期間内であっても認められません。</t>
  </si>
  <si>
    <t>　技術資料に関する事項が他の者に知られることのないように、取り扱うものとします。</t>
  </si>
  <si>
    <t>(7)</t>
  </si>
  <si>
    <t>工事名</t>
  </si>
  <si>
    <t>適用理由</t>
  </si>
  <si>
    <t>提出方法</t>
  </si>
  <si>
    <t>提出先</t>
  </si>
  <si>
    <t>提出期間</t>
  </si>
  <si>
    <t>その他</t>
  </si>
  <si>
    <t>技術資料の審査及び技術評価点の算出</t>
  </si>
  <si>
    <t>評価値の算出</t>
  </si>
  <si>
    <t>申立て先</t>
  </si>
  <si>
    <t>申立て期間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</si>
  <si>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</si>
  <si>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</si>
  <si>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　第１号様式の提出がないもの。あるいは第１号様式に押印がないもの。</t>
  </si>
  <si>
    <t>（企業の）同種工事の施工実績</t>
  </si>
  <si>
    <t>配置予定技術者の施工経験</t>
  </si>
  <si>
    <t>配置予定技術者の資格</t>
  </si>
  <si>
    <t>災害協力</t>
  </si>
  <si>
    <t>ＩＳＯ１４００１</t>
  </si>
  <si>
    <t>市内経済への貢献
（市内企業活用度）</t>
  </si>
  <si>
    <t>地域への貢献（横浜型地域貢献企業の認定）</t>
  </si>
  <si>
    <t>災害発生時の対応力（建設機械の保有状況）</t>
  </si>
  <si>
    <t>横浜市入力欄</t>
  </si>
  <si>
    <t>参加者入力欄</t>
  </si>
  <si>
    <t>土木（土木・造園）</t>
  </si>
  <si>
    <t>開札日</t>
  </si>
  <si>
    <t>過去2年間の基準日計算</t>
  </si>
  <si>
    <t>西暦で記入してください。(例　2015/4/1)</t>
  </si>
  <si>
    <t>記入上の注意</t>
  </si>
  <si>
    <t>氏名</t>
  </si>
  <si>
    <t>専任指導技術者</t>
  </si>
  <si>
    <t>配置予定現場代理人</t>
  </si>
  <si>
    <t>■「適用」となっている評価項目について、次のとおり実績等を申告します。</t>
  </si>
  <si>
    <t>開始年月日</t>
  </si>
  <si>
    <t>　年</t>
  </si>
  <si>
    <t>　月</t>
  </si>
  <si>
    <t>最終年月日</t>
  </si>
  <si>
    <t>　日</t>
  </si>
  <si>
    <t>最終日の2年前の翌月1日</t>
  </si>
  <si>
    <t>開札日の3ヶ月前の月末</t>
  </si>
  <si>
    <t>添付資料</t>
  </si>
  <si>
    <t>配置予定技術者（監理技術者）</t>
  </si>
  <si>
    <t>コ</t>
  </si>
  <si>
    <t>　入札参加者の技術資料の虚偽記載等明らかに悪質な行為があった場合には、横浜市指名停止等措置要綱の規定に基づき指名停止等を行います。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</si>
  <si>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</si>
  <si>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■「適用」となっている評価項目について、添付様式のとおり技術的所見等を提出します。</t>
  </si>
  <si>
    <t>　本市発注工事には、水道局、交通局及び医療局病院経営本部（旧病院経営局）発注工事を含みます。なお、公社等の発注工事は含みません。</t>
  </si>
  <si>
    <t>　　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</si>
  <si>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</si>
  <si>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</si>
  <si>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</si>
  <si>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</si>
  <si>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</si>
  <si>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</si>
  <si>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☆配置予定技術者氏名等記入欄　（技術者に関する評価項目が不適用の場合は記入不要です）</t>
  </si>
  <si>
    <t>☆専任指導技術者氏名記入欄　（評価項目「若手技術者の育成」が不適用の場合は記入不要です）</t>
  </si>
  <si>
    <t>不適用</t>
  </si>
  <si>
    <t>　技術資料の審査は入札参加資格の確認よりも早い段階で行うため、第１号様式に記載の配置予定技術者が、入札参加資格確認の段階で配置が認められない場合があります。この場合、入札参加資格を満たす別の技術者にて届け出ていただきますが、技術評価点が異なる者の場合は「12 技術提案等が達成されなかったときの取扱」の対象になることに注意してください。</t>
  </si>
  <si>
    <t xml:space="preserve">  落札者は、提出した技術資料に基づき施工しなければなりません。また、技術提案等に係る設計変更等は原則として行いません。</t>
  </si>
  <si>
    <t>　前項の場合、違約金の額は、次の式により算定した額に、取引に係る消費税及び地方消費税相当額を加えた額とします。</t>
  </si>
  <si>
    <t>とび・土工</t>
  </si>
  <si>
    <t>☆配置予定現場代理人氏名記入欄　（評価項目「配置予定現場代理人の横浜市優良工事現場責任者表彰の実績」が不適用の場合は記入不要です)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</si>
  <si>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</si>
  <si>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平成２７年１０月１日版</t>
  </si>
  <si>
    <t>高速横浜環状北西線（下谷本地区）地盤改良工事（その２）</t>
  </si>
  <si>
    <t>道路局横浜環状北西線建設課</t>
  </si>
  <si>
    <t>横浜市中区港町１－１</t>
  </si>
  <si>
    <t>671-3496</t>
  </si>
  <si>
    <t>651-3269</t>
  </si>
  <si>
    <t>不適用</t>
  </si>
  <si>
    <t>地盤改良に関する施工方法や改良体の品質や出来形に関すること</t>
  </si>
  <si>
    <t>施工を考慮したヤード計画や周辺環境に関すること</t>
  </si>
  <si>
    <t>地盤改良工事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</si>
</sst>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mmm\-yyyy"/>
  </numFmts>
  <fonts count="71">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0"/>
      <name val="ＭＳ 明朝"/>
      <family val="1"/>
    </font>
    <font>
      <b/>
      <sz val="10"/>
      <name val="ＭＳ 明朝"/>
      <family val="1"/>
    </font>
    <font>
      <b/>
      <sz val="10"/>
      <name val="ＭＳ ゴシック"/>
      <family val="3"/>
    </font>
    <font>
      <sz val="9"/>
      <color indexed="8"/>
      <name val="ＭＳ Ｐ明朝"/>
      <family val="1"/>
    </font>
    <font>
      <sz val="10"/>
      <color indexed="8"/>
      <name val="ＭＳ Ｐ明朝"/>
      <family val="1"/>
    </font>
    <font>
      <b/>
      <sz val="9"/>
      <name val="ＭＳ Ｐゴシック"/>
      <family val="3"/>
    </font>
    <font>
      <sz val="24"/>
      <name val="ＭＳ Ｐ明朝"/>
      <family val="1"/>
    </font>
    <font>
      <sz val="8"/>
      <name val="ＭＳ Ｐ明朝"/>
      <family val="1"/>
    </font>
    <font>
      <b/>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9"/>
      <name val="MS UI Gothic"/>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1"/>
      <color theme="0"/>
      <name val="ＭＳ Ｐゴシック"/>
      <family val="3"/>
    </font>
    <font>
      <sz val="10"/>
      <color theme="0"/>
      <name val="ＭＳ Ｐゴシック"/>
      <family val="3"/>
    </font>
    <font>
      <sz val="9"/>
      <color theme="1"/>
      <name val="ＭＳ Ｐ明朝"/>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theme="1" tint="0.3499900102615356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diagonalUp="1">
      <left style="thin"/>
      <right style="thin"/>
      <top style="thin"/>
      <bottom style="thin"/>
      <diagonal style="thin"/>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ck">
        <color indexed="10"/>
      </left>
      <right style="thick">
        <color indexed="10"/>
      </right>
      <top>
        <color indexed="63"/>
      </top>
      <bottom style="thick">
        <color indexed="10"/>
      </bottom>
    </border>
    <border diagonalUp="1">
      <left style="thick">
        <color indexed="10"/>
      </left>
      <right style="thick">
        <color indexed="10"/>
      </right>
      <top>
        <color indexed="63"/>
      </top>
      <bottom style="thick">
        <color indexed="10"/>
      </bottom>
      <diagonal style="thin">
        <color indexed="8"/>
      </diagonal>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theme="0"/>
      </left>
      <right style="thin">
        <color theme="0"/>
      </right>
      <top style="thin"/>
      <bottom style="thin"/>
    </border>
    <border>
      <left style="thin">
        <color theme="0"/>
      </left>
      <right style="thin"/>
      <top style="thin"/>
      <bottom style="thin"/>
    </border>
    <border>
      <left style="thin"/>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13" fillId="0" borderId="0" applyNumberFormat="0" applyFill="0" applyBorder="0" applyAlignment="0" applyProtection="0"/>
    <xf numFmtId="0" fontId="66" fillId="31" borderId="0" applyNumberFormat="0" applyBorder="0" applyAlignment="0" applyProtection="0"/>
  </cellStyleXfs>
  <cellXfs count="46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left" vertical="center"/>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19"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0"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0"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vertical="center"/>
      <protection/>
    </xf>
    <xf numFmtId="0" fontId="2" fillId="0" borderId="24" xfId="0" applyFont="1" applyBorder="1" applyAlignment="1" applyProtection="1">
      <alignment vertical="center" wrapText="1"/>
      <protection/>
    </xf>
    <xf numFmtId="0" fontId="0" fillId="32" borderId="27" xfId="0" applyFill="1" applyBorder="1" applyAlignment="1" applyProtection="1">
      <alignment horizontal="center" vertical="center"/>
      <protection/>
    </xf>
    <xf numFmtId="0" fontId="0" fillId="32" borderId="26" xfId="0" applyFill="1" applyBorder="1" applyAlignment="1" applyProtection="1">
      <alignment vertical="center" wrapText="1"/>
      <protection/>
    </xf>
    <xf numFmtId="0" fontId="0" fillId="32" borderId="28" xfId="0" applyFill="1" applyBorder="1" applyAlignment="1" applyProtection="1">
      <alignment horizontal="center" vertical="center"/>
      <protection/>
    </xf>
    <xf numFmtId="0" fontId="2" fillId="0" borderId="24" xfId="0" applyFont="1" applyBorder="1" applyAlignment="1" applyProtection="1">
      <alignment vertical="center"/>
      <protection/>
    </xf>
    <xf numFmtId="0" fontId="0" fillId="33" borderId="23" xfId="0" applyFill="1" applyBorder="1" applyAlignment="1" applyProtection="1">
      <alignment horizontal="center" vertical="center" wrapText="1"/>
      <protection/>
    </xf>
    <xf numFmtId="0" fontId="0" fillId="33" borderId="23"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11" fillId="33" borderId="26" xfId="0" applyFont="1" applyFill="1" applyBorder="1" applyAlignment="1" applyProtection="1">
      <alignment vertical="center" wrapText="1"/>
      <protection/>
    </xf>
    <xf numFmtId="0" fontId="0" fillId="33" borderId="26"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0" borderId="24" xfId="0" applyFill="1" applyBorder="1" applyAlignment="1" applyProtection="1">
      <alignment vertical="center" wrapText="1"/>
      <protection/>
    </xf>
    <xf numFmtId="0" fontId="0" fillId="0" borderId="3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24"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2" xfId="0" applyBorder="1" applyAlignment="1" applyProtection="1">
      <alignment vertical="center"/>
      <protection/>
    </xf>
    <xf numFmtId="0" fontId="0" fillId="0" borderId="24" xfId="0" applyFill="1" applyBorder="1" applyAlignment="1" applyProtection="1">
      <alignment vertical="center"/>
      <protection/>
    </xf>
    <xf numFmtId="0" fontId="0" fillId="0" borderId="33" xfId="0" applyBorder="1" applyAlignment="1" applyProtection="1">
      <alignment vertical="center"/>
      <protection/>
    </xf>
    <xf numFmtId="0" fontId="0" fillId="33" borderId="19" xfId="0" applyFill="1" applyBorder="1" applyAlignment="1" applyProtection="1">
      <alignment vertical="center" wrapText="1"/>
      <protection/>
    </xf>
    <xf numFmtId="0" fontId="11" fillId="33" borderId="19" xfId="0" applyFont="1" applyFill="1" applyBorder="1" applyAlignment="1" applyProtection="1">
      <alignment vertical="center" wrapText="1"/>
      <protection/>
    </xf>
    <xf numFmtId="0" fontId="11" fillId="33" borderId="34"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0" fillId="33" borderId="20"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2" xfId="0" applyNumberFormat="1" applyFont="1" applyBorder="1" applyAlignment="1" applyProtection="1">
      <alignment horizontal="left" vertical="center" wrapText="1"/>
      <protection/>
    </xf>
    <xf numFmtId="188" fontId="0" fillId="0" borderId="36" xfId="0" applyNumberFormat="1" applyFont="1" applyBorder="1" applyAlignment="1" applyProtection="1">
      <alignment horizontal="left" vertical="center" wrapText="1"/>
      <protection/>
    </xf>
    <xf numFmtId="188" fontId="0" fillId="0" borderId="30" xfId="0" applyNumberFormat="1" applyBorder="1" applyAlignment="1" applyProtection="1">
      <alignment vertical="center" wrapText="1"/>
      <protection/>
    </xf>
    <xf numFmtId="0" fontId="4" fillId="0" borderId="0" xfId="0" applyFont="1" applyBorder="1" applyAlignment="1">
      <alignment vertical="center"/>
    </xf>
    <xf numFmtId="58" fontId="4" fillId="0" borderId="0" xfId="0" applyNumberFormat="1" applyFont="1" applyBorder="1" applyAlignment="1" applyProtection="1">
      <alignment horizontal="lef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33" borderId="34" xfId="0" applyFill="1" applyBorder="1" applyAlignment="1" applyProtection="1">
      <alignment vertical="center" wrapText="1"/>
      <protection/>
    </xf>
    <xf numFmtId="0" fontId="11" fillId="0" borderId="0" xfId="0" applyFont="1" applyFill="1" applyAlignment="1">
      <alignment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5" xfId="0" applyFont="1" applyFill="1" applyBorder="1" applyAlignment="1">
      <alignment horizontal="center" vertical="center" wrapText="1"/>
    </xf>
    <xf numFmtId="0" fontId="21" fillId="0" borderId="18" xfId="0" applyFont="1" applyFill="1" applyBorder="1" applyAlignment="1">
      <alignment horizontal="justify" vertical="top" wrapText="1"/>
    </xf>
    <xf numFmtId="0" fontId="22" fillId="0" borderId="45" xfId="0" applyFont="1" applyFill="1" applyBorder="1" applyAlignment="1">
      <alignment horizontal="center" vertical="center" wrapText="1"/>
    </xf>
    <xf numFmtId="0" fontId="21" fillId="0" borderId="23" xfId="0" applyFont="1" applyFill="1" applyBorder="1" applyAlignment="1">
      <alignment vertical="center" wrapText="1"/>
    </xf>
    <xf numFmtId="0" fontId="22" fillId="0" borderId="18" xfId="0" applyFont="1" applyFill="1" applyBorder="1" applyAlignment="1">
      <alignment horizontal="center" vertical="center" wrapText="1"/>
    </xf>
    <xf numFmtId="0" fontId="23" fillId="0" borderId="23" xfId="0" applyFont="1" applyFill="1" applyBorder="1" applyAlignment="1">
      <alignment wrapText="1"/>
    </xf>
    <xf numFmtId="0" fontId="21" fillId="0" borderId="46" xfId="0" applyFont="1" applyFill="1" applyBorder="1" applyAlignment="1">
      <alignment horizontal="left" vertical="top" wrapText="1"/>
    </xf>
    <xf numFmtId="0" fontId="23" fillId="0" borderId="23" xfId="0" applyFont="1" applyFill="1" applyBorder="1" applyAlignment="1">
      <alignment horizontal="left" wrapText="1"/>
    </xf>
    <xf numFmtId="0" fontId="0" fillId="0" borderId="47" xfId="0" applyBorder="1" applyAlignment="1" applyProtection="1">
      <alignment vertical="center"/>
      <protection/>
    </xf>
    <xf numFmtId="0" fontId="0" fillId="33" borderId="21" xfId="0" applyFont="1" applyFill="1" applyBorder="1" applyAlignment="1" applyProtection="1">
      <alignmen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0" fillId="0" borderId="0" xfId="0" applyFont="1" applyFill="1" applyAlignment="1">
      <alignment vertical="center"/>
    </xf>
    <xf numFmtId="0" fontId="4" fillId="0" borderId="0" xfId="0" applyFont="1" applyFill="1" applyAlignment="1">
      <alignment vertical="top" wrapText="1"/>
    </xf>
    <xf numFmtId="0" fontId="20" fillId="0" borderId="0" xfId="0" applyFont="1" applyAlignment="1" applyProtection="1">
      <alignment vertical="center"/>
      <protection locked="0"/>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8" xfId="0" applyFont="1" applyFill="1" applyBorder="1" applyAlignment="1">
      <alignment horizontal="center" vertical="center"/>
    </xf>
    <xf numFmtId="58" fontId="4" fillId="0" borderId="18" xfId="0" applyNumberFormat="1" applyFont="1" applyFill="1" applyBorder="1" applyAlignment="1">
      <alignment horizontal="center" vertical="center"/>
    </xf>
    <xf numFmtId="189" fontId="4" fillId="0" borderId="18" xfId="0" applyNumberFormat="1" applyFont="1" applyFill="1" applyBorder="1" applyAlignment="1">
      <alignment horizontal="center" vertical="center"/>
    </xf>
    <xf numFmtId="190" fontId="4" fillId="0" borderId="18"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67" fillId="0" borderId="0" xfId="0" applyFont="1" applyBorder="1" applyAlignment="1">
      <alignment vertical="center" wrapText="1"/>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wrapText="1"/>
    </xf>
    <xf numFmtId="0" fontId="4" fillId="0" borderId="0" xfId="0" applyFont="1" applyFill="1" applyAlignment="1">
      <alignment horizontal="left" vertical="center" wrapText="1"/>
    </xf>
    <xf numFmtId="0" fontId="9" fillId="0" borderId="46" xfId="0" applyFont="1" applyFill="1" applyBorder="1" applyAlignment="1">
      <alignment vertical="top" wrapText="1"/>
    </xf>
    <xf numFmtId="0" fontId="20" fillId="0" borderId="0" xfId="0" applyFont="1" applyFill="1" applyAlignment="1">
      <alignment horizontal="center" vertical="top"/>
    </xf>
    <xf numFmtId="0" fontId="9" fillId="0" borderId="50" xfId="0" applyFont="1" applyFill="1" applyBorder="1" applyAlignment="1">
      <alignment vertical="top" wrapText="1"/>
    </xf>
    <xf numFmtId="0" fontId="9" fillId="0" borderId="23" xfId="0" applyFont="1" applyFill="1" applyBorder="1" applyAlignment="1">
      <alignment vertical="center" wrapText="1"/>
    </xf>
    <xf numFmtId="0" fontId="9" fillId="0" borderId="50" xfId="0" applyFont="1" applyFill="1" applyBorder="1" applyAlignment="1">
      <alignment vertical="center" wrapText="1"/>
    </xf>
    <xf numFmtId="0" fontId="9" fillId="0" borderId="46" xfId="0" applyFont="1" applyFill="1" applyBorder="1" applyAlignment="1">
      <alignment vertical="center" wrapText="1"/>
    </xf>
    <xf numFmtId="0" fontId="20" fillId="0" borderId="23" xfId="0" applyFont="1" applyBorder="1" applyAlignment="1" applyProtection="1">
      <alignment horizontal="left" vertical="center" wrapText="1"/>
      <protection/>
    </xf>
    <xf numFmtId="0" fontId="21" fillId="0" borderId="51" xfId="0" applyFont="1" applyFill="1" applyBorder="1" applyAlignment="1">
      <alignment horizontal="justify" vertical="top" wrapText="1"/>
    </xf>
    <xf numFmtId="0" fontId="22" fillId="0" borderId="51"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22" fillId="0" borderId="52" xfId="0" applyFont="1" applyFill="1" applyBorder="1" applyAlignment="1">
      <alignment horizontal="center" vertical="center" wrapText="1"/>
    </xf>
    <xf numFmtId="0" fontId="9" fillId="0" borderId="52" xfId="0" applyFont="1" applyFill="1" applyBorder="1" applyAlignment="1">
      <alignment horizontal="justify" vertical="top" wrapText="1"/>
    </xf>
    <xf numFmtId="0" fontId="10"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1" fillId="0" borderId="53" xfId="0" applyFont="1" applyFill="1" applyBorder="1" applyAlignment="1">
      <alignment horizontal="justify" vertical="top" wrapText="1"/>
    </xf>
    <xf numFmtId="0" fontId="10" fillId="0" borderId="54" xfId="0" applyFont="1" applyFill="1" applyBorder="1" applyAlignment="1">
      <alignment horizontal="center" vertical="center" wrapText="1"/>
    </xf>
    <xf numFmtId="0" fontId="9" fillId="0" borderId="51" xfId="0" applyFont="1" applyFill="1" applyBorder="1" applyAlignment="1">
      <alignment horizontal="justify" vertical="top" wrapText="1"/>
    </xf>
    <xf numFmtId="0" fontId="10" fillId="0" borderId="51" xfId="0" applyFont="1" applyFill="1" applyBorder="1" applyAlignment="1">
      <alignment horizontal="center" vertical="center" wrapText="1"/>
    </xf>
    <xf numFmtId="0" fontId="9" fillId="0" borderId="53" xfId="0" applyFont="1" applyFill="1" applyBorder="1" applyAlignment="1">
      <alignment horizontal="justify" vertical="top" wrapText="1"/>
    </xf>
    <xf numFmtId="0" fontId="10" fillId="0" borderId="53" xfId="0" applyFont="1" applyFill="1" applyBorder="1" applyAlignment="1">
      <alignment horizontal="center" vertical="center" wrapText="1"/>
    </xf>
    <xf numFmtId="0" fontId="21" fillId="0" borderId="54" xfId="0" applyFont="1" applyFill="1" applyBorder="1" applyAlignment="1">
      <alignment vertical="top" wrapText="1"/>
    </xf>
    <xf numFmtId="0" fontId="21" fillId="0" borderId="53" xfId="0" applyFont="1" applyFill="1" applyBorder="1" applyAlignment="1">
      <alignment vertical="top" wrapText="1"/>
    </xf>
    <xf numFmtId="0" fontId="2" fillId="33" borderId="19" xfId="0" applyFont="1" applyFill="1" applyBorder="1" applyAlignment="1" applyProtection="1">
      <alignment vertical="center" wrapText="1"/>
      <protection/>
    </xf>
    <xf numFmtId="0" fontId="20" fillId="0" borderId="18" xfId="0" applyFont="1" applyBorder="1" applyAlignment="1" applyProtection="1">
      <alignment horizontal="left" vertical="center" wrapText="1"/>
      <protection/>
    </xf>
    <xf numFmtId="0" fontId="9" fillId="0" borderId="53" xfId="0" applyFont="1" applyFill="1" applyBorder="1" applyAlignment="1">
      <alignment vertical="top" wrapText="1"/>
    </xf>
    <xf numFmtId="0" fontId="0" fillId="33" borderId="55" xfId="0" applyFill="1" applyBorder="1" applyAlignment="1" applyProtection="1">
      <alignment horizontal="center" vertical="center"/>
      <protection/>
    </xf>
    <xf numFmtId="0" fontId="0" fillId="0" borderId="56" xfId="0" applyBorder="1" applyAlignment="1" applyProtection="1">
      <alignment vertical="center"/>
      <protection/>
    </xf>
    <xf numFmtId="0" fontId="21" fillId="0" borderId="51" xfId="0" applyFont="1" applyFill="1" applyBorder="1" applyAlignment="1">
      <alignment vertical="center"/>
    </xf>
    <xf numFmtId="0" fontId="21" fillId="0" borderId="53" xfId="0" applyFont="1" applyFill="1" applyBorder="1" applyAlignment="1">
      <alignment vertical="center"/>
    </xf>
    <xf numFmtId="0" fontId="11" fillId="33" borderId="21" xfId="0" applyFont="1" applyFill="1" applyBorder="1" applyAlignment="1" applyProtection="1">
      <alignment vertical="center" wrapText="1"/>
      <protection/>
    </xf>
    <xf numFmtId="0" fontId="4" fillId="0" borderId="19" xfId="0" applyFont="1" applyFill="1" applyBorder="1" applyAlignment="1" applyProtection="1">
      <alignment shrinkToFit="1"/>
      <protection locked="0"/>
    </xf>
    <xf numFmtId="0" fontId="4" fillId="0" borderId="16" xfId="0" applyFont="1" applyFill="1" applyBorder="1" applyAlignment="1" applyProtection="1">
      <alignment shrinkToFit="1"/>
      <protection locked="0"/>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4" fillId="0" borderId="18" xfId="0" applyFont="1" applyBorder="1" applyAlignment="1" applyProtection="1">
      <alignment horizontal="left" vertical="center" wrapText="1"/>
      <protection/>
    </xf>
    <xf numFmtId="0" fontId="0" fillId="0" borderId="26" xfId="0" applyFont="1" applyFill="1" applyBorder="1" applyAlignment="1">
      <alignment vertical="center"/>
    </xf>
    <xf numFmtId="176" fontId="0" fillId="0" borderId="24" xfId="0" applyNumberFormat="1" applyFont="1" applyFill="1" applyBorder="1" applyAlignment="1">
      <alignment vertical="center"/>
    </xf>
    <xf numFmtId="0" fontId="0" fillId="0" borderId="27" xfId="0" applyFont="1" applyFill="1" applyBorder="1" applyAlignment="1">
      <alignment vertical="center"/>
    </xf>
    <xf numFmtId="0" fontId="0" fillId="0" borderId="0" xfId="0" applyNumberFormat="1"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0" borderId="27" xfId="0" applyNumberFormat="1" applyFont="1" applyFill="1" applyBorder="1" applyAlignment="1">
      <alignment vertical="center"/>
    </xf>
    <xf numFmtId="176" fontId="0" fillId="0" borderId="28" xfId="0" applyNumberFormat="1" applyFont="1" applyFill="1" applyBorder="1" applyAlignment="1">
      <alignment vertical="center"/>
    </xf>
    <xf numFmtId="0" fontId="0" fillId="0" borderId="57" xfId="0" applyNumberFormat="1" applyFont="1" applyFill="1" applyBorder="1" applyAlignment="1">
      <alignment vertical="center"/>
    </xf>
    <xf numFmtId="0" fontId="4" fillId="0" borderId="23" xfId="0" applyFont="1" applyBorder="1" applyAlignment="1" applyProtection="1">
      <alignment horizontal="left" vertical="center" wrapText="1"/>
      <protection/>
    </xf>
    <xf numFmtId="0" fontId="20" fillId="0" borderId="0" xfId="0" applyFont="1" applyBorder="1" applyAlignment="1" applyProtection="1">
      <alignment vertical="center"/>
      <protection locked="0"/>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horizontal="right" vertical="center"/>
      <protection/>
    </xf>
    <xf numFmtId="0" fontId="20" fillId="0" borderId="23" xfId="0" applyFont="1" applyBorder="1" applyAlignment="1" applyProtection="1">
      <alignment vertical="center"/>
      <protection/>
    </xf>
    <xf numFmtId="0" fontId="20" fillId="0" borderId="46" xfId="0" applyFont="1" applyBorder="1" applyAlignment="1" applyProtection="1">
      <alignment vertical="center"/>
      <protection/>
    </xf>
    <xf numFmtId="0" fontId="20" fillId="0" borderId="18" xfId="0" applyFont="1" applyBorder="1" applyAlignment="1" applyProtection="1">
      <alignment vertical="center" wrapText="1"/>
      <protection/>
    </xf>
    <xf numFmtId="0" fontId="20" fillId="0" borderId="24" xfId="0" applyFont="1" applyBorder="1" applyAlignment="1" applyProtection="1">
      <alignment vertical="center" wrapText="1"/>
      <protection/>
    </xf>
    <xf numFmtId="0" fontId="20" fillId="0" borderId="18" xfId="0" applyFont="1" applyBorder="1" applyAlignment="1" applyProtection="1">
      <alignment horizontal="left" vertical="center"/>
      <protection/>
    </xf>
    <xf numFmtId="0" fontId="14" fillId="0" borderId="18" xfId="0" applyFont="1" applyBorder="1" applyAlignment="1" applyProtection="1">
      <alignment horizontal="left" vertical="center"/>
      <protection/>
    </xf>
    <xf numFmtId="0" fontId="20" fillId="0" borderId="23" xfId="0" applyFont="1" applyBorder="1" applyAlignment="1" applyProtection="1">
      <alignment horizontal="center" vertical="center" wrapText="1"/>
      <protection/>
    </xf>
    <xf numFmtId="0" fontId="28" fillId="0" borderId="18" xfId="0" applyFont="1" applyBorder="1" applyAlignment="1" applyProtection="1">
      <alignment horizontal="left" vertical="center" wrapText="1"/>
      <protection/>
    </xf>
    <xf numFmtId="0" fontId="20" fillId="0" borderId="18" xfId="0" applyFont="1" applyFill="1" applyBorder="1" applyAlignment="1" applyProtection="1">
      <alignment horizontal="left" vertical="center"/>
      <protection/>
    </xf>
    <xf numFmtId="176" fontId="0" fillId="0" borderId="0" xfId="0" applyNumberFormat="1" applyFont="1" applyFill="1" applyBorder="1" applyAlignment="1">
      <alignment vertical="center"/>
    </xf>
    <xf numFmtId="176" fontId="0" fillId="0" borderId="58" xfId="0" applyNumberFormat="1" applyFont="1" applyFill="1" applyBorder="1" applyAlignment="1">
      <alignment vertical="center"/>
    </xf>
    <xf numFmtId="0" fontId="0" fillId="0" borderId="59"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59" xfId="0" applyNumberFormat="1" applyFont="1" applyFill="1" applyBorder="1" applyAlignment="1">
      <alignment vertical="center"/>
    </xf>
    <xf numFmtId="0" fontId="20" fillId="34" borderId="18" xfId="0" applyFont="1" applyFill="1" applyBorder="1" applyAlignment="1" applyProtection="1">
      <alignment horizontal="center" vertical="center"/>
      <protection locked="0"/>
    </xf>
    <xf numFmtId="0" fontId="20" fillId="34" borderId="18" xfId="0" applyFont="1" applyFill="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20" fillId="35" borderId="26" xfId="0" applyFont="1" applyFill="1" applyBorder="1" applyAlignment="1" applyProtection="1">
      <alignment horizontal="center" vertical="center"/>
      <protection locked="0"/>
    </xf>
    <xf numFmtId="0" fontId="20" fillId="35" borderId="26" xfId="0" applyFont="1" applyFill="1" applyBorder="1" applyAlignment="1" applyProtection="1">
      <alignment vertical="center"/>
      <protection locked="0"/>
    </xf>
    <xf numFmtId="0" fontId="4" fillId="0" borderId="0" xfId="0" applyFont="1" applyBorder="1" applyAlignment="1">
      <alignment horizontal="right" vertical="center" wrapText="1"/>
    </xf>
    <xf numFmtId="0" fontId="68" fillId="36" borderId="60" xfId="0" applyFont="1" applyFill="1" applyBorder="1" applyAlignment="1" applyProtection="1">
      <alignment horizontal="center" vertical="center"/>
      <protection/>
    </xf>
    <xf numFmtId="0" fontId="68" fillId="36" borderId="61" xfId="0" applyFont="1" applyFill="1" applyBorder="1" applyAlignment="1" applyProtection="1">
      <alignment horizontal="center" vertical="center"/>
      <protection/>
    </xf>
    <xf numFmtId="0" fontId="69" fillId="36" borderId="61" xfId="0" applyFont="1" applyFill="1" applyBorder="1" applyAlignment="1" applyProtection="1">
      <alignment horizontal="center" vertical="center"/>
      <protection locked="0"/>
    </xf>
    <xf numFmtId="0" fontId="69" fillId="36" borderId="62" xfId="0" applyFont="1" applyFill="1" applyBorder="1" applyAlignment="1" applyProtection="1">
      <alignment horizontal="center" vertical="center" wrapText="1"/>
      <protection/>
    </xf>
    <xf numFmtId="0" fontId="69" fillId="36" borderId="60" xfId="0" applyFont="1" applyFill="1" applyBorder="1" applyAlignment="1" applyProtection="1">
      <alignment horizontal="center" vertical="center"/>
      <protection locked="0"/>
    </xf>
    <xf numFmtId="0" fontId="29" fillId="0" borderId="50" xfId="0" applyFont="1" applyFill="1" applyBorder="1" applyAlignment="1">
      <alignment horizontal="left" wrapText="1"/>
    </xf>
    <xf numFmtId="0" fontId="20" fillId="34" borderId="18" xfId="0" applyFont="1" applyFill="1" applyBorder="1" applyAlignment="1" applyProtection="1">
      <alignment horizontal="center" vertical="center"/>
      <protection locked="0"/>
    </xf>
    <xf numFmtId="0" fontId="20" fillId="0" borderId="46" xfId="0" applyFont="1" applyBorder="1" applyAlignment="1" applyProtection="1">
      <alignment vertical="top" wrapText="1"/>
      <protection/>
    </xf>
    <xf numFmtId="0" fontId="4" fillId="0" borderId="18" xfId="0" applyFont="1" applyBorder="1" applyAlignment="1" applyProtection="1">
      <alignment vertical="center" wrapText="1"/>
      <protection/>
    </xf>
    <xf numFmtId="0" fontId="20" fillId="0" borderId="18" xfId="0" applyFont="1" applyBorder="1" applyAlignment="1" applyProtection="1">
      <alignment vertical="center"/>
      <protection/>
    </xf>
    <xf numFmtId="0" fontId="20" fillId="0" borderId="23" xfId="0" applyFont="1" applyFill="1" applyBorder="1" applyAlignment="1" applyProtection="1">
      <alignment horizontal="left" vertical="center" wrapText="1"/>
      <protection/>
    </xf>
    <xf numFmtId="0" fontId="20" fillId="0" borderId="0" xfId="0" applyFont="1" applyBorder="1" applyAlignment="1" applyProtection="1">
      <alignment vertical="center"/>
      <protection/>
    </xf>
    <xf numFmtId="0" fontId="20" fillId="0" borderId="23" xfId="0" applyFont="1" applyBorder="1" applyAlignment="1" applyProtection="1">
      <alignment vertical="center"/>
      <protection/>
    </xf>
    <xf numFmtId="0" fontId="20" fillId="0" borderId="23" xfId="0" applyFont="1" applyBorder="1" applyAlignment="1" applyProtection="1">
      <alignment vertical="center" wrapText="1"/>
      <protection/>
    </xf>
    <xf numFmtId="0" fontId="20" fillId="0" borderId="18" xfId="0" applyFont="1" applyFill="1" applyBorder="1" applyAlignment="1" applyProtection="1">
      <alignment horizontal="left" vertical="center" wrapText="1"/>
      <protection/>
    </xf>
    <xf numFmtId="0" fontId="20" fillId="0" borderId="18" xfId="0" applyFont="1" applyFill="1" applyBorder="1" applyAlignment="1" applyProtection="1">
      <alignment vertical="center" wrapText="1"/>
      <protection/>
    </xf>
    <xf numFmtId="0" fontId="20" fillId="0" borderId="0" xfId="0" applyFont="1" applyAlignment="1" applyProtection="1">
      <alignment vertical="center"/>
      <protection/>
    </xf>
    <xf numFmtId="0" fontId="69" fillId="36" borderId="61" xfId="0" applyFont="1" applyFill="1" applyBorder="1" applyAlignment="1" applyProtection="1">
      <alignment horizontal="center" vertical="center"/>
      <protection/>
    </xf>
    <xf numFmtId="0" fontId="20" fillId="0" borderId="18" xfId="0" applyFont="1" applyFill="1" applyBorder="1" applyAlignment="1" applyProtection="1">
      <alignment vertical="center"/>
      <protection/>
    </xf>
    <xf numFmtId="0" fontId="9" fillId="0" borderId="51" xfId="0" applyFont="1" applyFill="1" applyBorder="1" applyAlignment="1">
      <alignment vertical="top" wrapText="1"/>
    </xf>
    <xf numFmtId="0" fontId="0" fillId="33" borderId="63" xfId="0" applyFill="1" applyBorder="1" applyAlignment="1" applyProtection="1">
      <alignment horizontal="center" vertical="center" wrapText="1"/>
      <protection/>
    </xf>
    <xf numFmtId="0" fontId="0" fillId="33" borderId="64" xfId="0" applyFill="1" applyBorder="1" applyAlignment="1" applyProtection="1">
      <alignment horizontal="center" vertical="center" wrapText="1"/>
      <protection/>
    </xf>
    <xf numFmtId="0" fontId="0" fillId="33" borderId="65"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66"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0" borderId="67" xfId="0" applyFill="1" applyBorder="1" applyAlignment="1" applyProtection="1">
      <alignment horizontal="left" vertical="center" wrapText="1"/>
      <protection/>
    </xf>
    <xf numFmtId="0" fontId="0" fillId="0" borderId="68" xfId="0" applyFill="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59" xfId="0" applyFill="1" applyBorder="1" applyAlignment="1" applyProtection="1">
      <alignment horizontal="center" vertical="center"/>
      <protection/>
    </xf>
    <xf numFmtId="0" fontId="2" fillId="0" borderId="27" xfId="0" applyFont="1" applyBorder="1" applyAlignment="1" applyProtection="1">
      <alignment horizontal="left" vertical="center" wrapText="1" indent="1"/>
      <protection/>
    </xf>
    <xf numFmtId="0" fontId="0" fillId="32" borderId="23"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0" fillId="32" borderId="46" xfId="0" applyFill="1" applyBorder="1" applyAlignment="1" applyProtection="1">
      <alignment horizontal="center" vertical="center"/>
      <protection/>
    </xf>
    <xf numFmtId="0" fontId="2" fillId="0" borderId="67" xfId="0" applyFont="1" applyBorder="1" applyAlignment="1" applyProtection="1">
      <alignment horizontal="left" vertical="center" wrapText="1"/>
      <protection/>
    </xf>
    <xf numFmtId="0" fontId="2" fillId="0" borderId="69" xfId="0" applyFont="1" applyBorder="1" applyAlignment="1" applyProtection="1">
      <alignment horizontal="left" vertical="center"/>
      <protection/>
    </xf>
    <xf numFmtId="0" fontId="2" fillId="0" borderId="68" xfId="0" applyFont="1" applyBorder="1" applyAlignment="1" applyProtection="1">
      <alignment horizontal="left" vertical="center"/>
      <protection/>
    </xf>
    <xf numFmtId="0" fontId="0" fillId="33" borderId="63" xfId="0" applyFill="1" applyBorder="1" applyAlignment="1" applyProtection="1">
      <alignment horizontal="left" vertical="center"/>
      <protection/>
    </xf>
    <xf numFmtId="0" fontId="0" fillId="33" borderId="70" xfId="0" applyFill="1" applyBorder="1" applyAlignment="1" applyProtection="1">
      <alignment horizontal="left" vertical="center"/>
      <protection/>
    </xf>
    <xf numFmtId="0" fontId="0" fillId="33" borderId="64"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7"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67" fillId="0" borderId="34" xfId="0" applyFont="1" applyBorder="1" applyAlignment="1">
      <alignment horizontal="left" vertical="top" wrapText="1"/>
    </xf>
    <xf numFmtId="0" fontId="67" fillId="0" borderId="0" xfId="0" applyFont="1" applyBorder="1" applyAlignment="1">
      <alignment horizontal="left" vertical="top" wrapText="1"/>
    </xf>
    <xf numFmtId="0" fontId="67" fillId="0" borderId="0" xfId="0" applyFont="1" applyBorder="1" applyAlignment="1">
      <alignment horizontal="left" vertical="center" wrapText="1"/>
    </xf>
    <xf numFmtId="0" fontId="67" fillId="0" borderId="18" xfId="0" applyFont="1" applyBorder="1" applyAlignment="1">
      <alignment vertical="center" wrapText="1"/>
    </xf>
    <xf numFmtId="0" fontId="67" fillId="0" borderId="18" xfId="0" applyFont="1" applyFill="1" applyBorder="1" applyAlignment="1">
      <alignment vertical="center" wrapText="1"/>
    </xf>
    <xf numFmtId="0" fontId="70" fillId="0" borderId="18" xfId="0" applyFont="1" applyBorder="1" applyAlignment="1">
      <alignment vertical="center" wrapText="1"/>
    </xf>
    <xf numFmtId="0" fontId="4" fillId="0" borderId="18" xfId="0" applyFont="1" applyBorder="1" applyAlignment="1">
      <alignment vertical="center"/>
    </xf>
    <xf numFmtId="0" fontId="4" fillId="0" borderId="0" xfId="0" applyFont="1" applyAlignment="1">
      <alignment horizontal="left" vertical="top"/>
    </xf>
    <xf numFmtId="0" fontId="15"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4" fillId="0" borderId="0" xfId="0" applyFont="1" applyAlignment="1">
      <alignment vertical="center" wrapText="1"/>
    </xf>
    <xf numFmtId="0" fontId="4" fillId="0" borderId="16" xfId="0" applyFont="1" applyFill="1" applyBorder="1" applyAlignment="1">
      <alignment vertical="center"/>
    </xf>
    <xf numFmtId="0" fontId="4" fillId="0" borderId="0" xfId="0" applyFont="1" applyAlignment="1" quotePrefix="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center" vertical="center"/>
    </xf>
    <xf numFmtId="0" fontId="21" fillId="0" borderId="23"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46"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6" fillId="0" borderId="46"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10" fillId="0" borderId="5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23" xfId="0" applyFont="1" applyFill="1" applyBorder="1" applyAlignment="1">
      <alignment horizontal="left" vertical="top" wrapText="1"/>
    </xf>
    <xf numFmtId="0" fontId="9" fillId="0" borderId="46" xfId="0" applyFont="1" applyFill="1" applyBorder="1" applyAlignment="1">
      <alignment horizontal="left" vertical="top" wrapText="1"/>
    </xf>
    <xf numFmtId="0" fontId="9" fillId="0" borderId="50" xfId="0" applyFont="1" applyFill="1" applyBorder="1" applyAlignment="1">
      <alignment horizontal="left" vertical="top" wrapText="1"/>
    </xf>
    <xf numFmtId="0" fontId="19" fillId="0" borderId="23"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21" fillId="0" borderId="18" xfId="0" applyFont="1" applyFill="1" applyBorder="1" applyAlignment="1">
      <alignment horizontal="left" vertical="top" wrapText="1"/>
    </xf>
    <xf numFmtId="0" fontId="23" fillId="0" borderId="18" xfId="0" applyFont="1" applyFill="1" applyBorder="1" applyAlignment="1">
      <alignment horizontal="left" vertical="center" wrapText="1"/>
    </xf>
    <xf numFmtId="0" fontId="21" fillId="0" borderId="23"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9" fillId="0" borderId="18" xfId="0" applyFont="1" applyFill="1" applyBorder="1" applyAlignment="1">
      <alignment horizontal="left" vertical="top" wrapText="1"/>
    </xf>
    <xf numFmtId="0" fontId="26" fillId="0" borderId="23" xfId="0" applyFont="1" applyFill="1" applyBorder="1" applyAlignment="1">
      <alignment horizontal="left" vertical="center" wrapText="1"/>
    </xf>
    <xf numFmtId="0" fontId="21" fillId="0" borderId="18"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26" fillId="0" borderId="50"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9" fillId="0" borderId="54" xfId="0" applyFont="1" applyFill="1" applyBorder="1" applyAlignment="1">
      <alignment horizontal="left" vertical="top" wrapText="1"/>
    </xf>
    <xf numFmtId="0" fontId="9" fillId="0" borderId="50" xfId="0" applyFont="1" applyFill="1" applyBorder="1" applyAlignment="1">
      <alignment horizontal="center" vertical="center" wrapText="1"/>
    </xf>
    <xf numFmtId="0" fontId="9" fillId="0" borderId="50" xfId="0" applyFont="1" applyFill="1" applyBorder="1" applyAlignment="1">
      <alignment horizontal="left" vertical="center" wrapText="1"/>
    </xf>
    <xf numFmtId="0" fontId="23" fillId="0" borderId="23"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1" fillId="0" borderId="18" xfId="0" applyFont="1" applyFill="1" applyBorder="1" applyAlignment="1">
      <alignment horizontal="center" vertical="center"/>
    </xf>
    <xf numFmtId="0" fontId="23" fillId="0" borderId="50"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11" fillId="0" borderId="53" xfId="0" applyFont="1" applyFill="1" applyBorder="1" applyAlignment="1">
      <alignment vertical="center" wrapText="1"/>
    </xf>
    <xf numFmtId="0" fontId="21" fillId="0" borderId="23" xfId="0" applyFont="1" applyFill="1" applyBorder="1" applyAlignment="1">
      <alignment vertical="top" wrapText="1"/>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23" fillId="0" borderId="2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1" fillId="0" borderId="23" xfId="0" applyFont="1" applyFill="1" applyBorder="1" applyAlignment="1">
      <alignment vertical="center" wrapText="1"/>
    </xf>
    <xf numFmtId="0" fontId="21" fillId="0" borderId="50" xfId="0" applyFont="1" applyFill="1" applyBorder="1" applyAlignment="1">
      <alignment vertical="center" wrapText="1"/>
    </xf>
    <xf numFmtId="0" fontId="21" fillId="0" borderId="46" xfId="0" applyFont="1" applyFill="1" applyBorder="1" applyAlignment="1">
      <alignment vertical="center"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51" xfId="0" applyFont="1" applyFill="1" applyBorder="1" applyAlignment="1">
      <alignment horizontal="left" vertical="top" wrapText="1"/>
    </xf>
    <xf numFmtId="0" fontId="21" fillId="0" borderId="52" xfId="0" applyFont="1" applyFill="1" applyBorder="1" applyAlignment="1">
      <alignment horizontal="left" vertical="top" wrapText="1"/>
    </xf>
    <xf numFmtId="0" fontId="21" fillId="0" borderId="23"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3"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0" xfId="0" applyFont="1" applyFill="1" applyAlignment="1">
      <alignment horizontal="right" vertical="top" wrapText="1"/>
    </xf>
    <xf numFmtId="0" fontId="21" fillId="0" borderId="0" xfId="0" applyFont="1" applyFill="1" applyBorder="1" applyAlignment="1">
      <alignment horizontal="justify" vertical="top"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9" fillId="0" borderId="23" xfId="0" applyFont="1" applyFill="1" applyBorder="1" applyAlignment="1">
      <alignment horizontal="center" vertical="top" wrapText="1"/>
    </xf>
    <xf numFmtId="0" fontId="9" fillId="0" borderId="46" xfId="0" applyFont="1" applyFill="1" applyBorder="1" applyAlignment="1">
      <alignment horizontal="center" vertical="top" wrapText="1"/>
    </xf>
    <xf numFmtId="0" fontId="22" fillId="0" borderId="18" xfId="0" applyFont="1" applyFill="1" applyBorder="1" applyAlignment="1">
      <alignment horizontal="center" vertical="center" wrapText="1"/>
    </xf>
    <xf numFmtId="0" fontId="4" fillId="0" borderId="18" xfId="0" applyFont="1" applyBorder="1" applyAlignment="1" applyProtection="1">
      <alignment horizontal="left" vertical="center"/>
      <protection/>
    </xf>
    <xf numFmtId="0" fontId="68" fillId="36" borderId="62" xfId="0" applyFont="1" applyFill="1" applyBorder="1" applyAlignment="1" applyProtection="1">
      <alignment horizontal="center" vertical="center"/>
      <protection/>
    </xf>
    <xf numFmtId="0" fontId="68" fillId="36" borderId="60" xfId="0" applyFont="1" applyFill="1" applyBorder="1" applyAlignment="1" applyProtection="1">
      <alignment horizontal="center" vertical="center"/>
      <protection/>
    </xf>
    <xf numFmtId="0" fontId="20" fillId="0" borderId="26" xfId="0" applyFont="1" applyBorder="1" applyAlignment="1" applyProtection="1">
      <alignment horizontal="left" vertical="center"/>
      <protection/>
    </xf>
    <xf numFmtId="0" fontId="20" fillId="0" borderId="24" xfId="0" applyFont="1" applyBorder="1" applyAlignment="1" applyProtection="1">
      <alignment horizontal="left" vertical="center"/>
      <protection/>
    </xf>
    <xf numFmtId="0" fontId="20" fillId="35" borderId="26" xfId="0" applyFont="1" applyFill="1" applyBorder="1" applyAlignment="1" applyProtection="1">
      <alignment horizontal="center" vertical="center"/>
      <protection locked="0"/>
    </xf>
    <xf numFmtId="0" fontId="20" fillId="35" borderId="24"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left" vertical="center" wrapText="1"/>
      <protection/>
    </xf>
    <xf numFmtId="0" fontId="4" fillId="0" borderId="58"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0" borderId="26"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26"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20" fillId="0" borderId="28" xfId="0" applyFont="1" applyBorder="1" applyAlignment="1" applyProtection="1">
      <alignment horizontal="left" vertical="center" wrapText="1"/>
      <protection/>
    </xf>
    <xf numFmtId="0" fontId="20" fillId="0" borderId="57" xfId="0" applyFont="1" applyBorder="1" applyAlignment="1" applyProtection="1">
      <alignment horizontal="left" vertical="center" wrapText="1"/>
      <protection/>
    </xf>
    <xf numFmtId="0" fontId="20" fillId="34" borderId="18" xfId="0" applyFont="1" applyFill="1" applyBorder="1" applyAlignment="1" applyProtection="1">
      <alignment horizontal="center" vertical="center"/>
      <protection locked="0"/>
    </xf>
    <xf numFmtId="0" fontId="4" fillId="35" borderId="26" xfId="0" applyFont="1" applyFill="1" applyBorder="1" applyAlignment="1" applyProtection="1">
      <alignment horizontal="left" vertical="center"/>
      <protection locked="0"/>
    </xf>
    <xf numFmtId="0" fontId="4" fillId="35" borderId="24" xfId="0" applyFont="1" applyFill="1" applyBorder="1" applyAlignment="1" applyProtection="1">
      <alignment horizontal="left" vertical="center"/>
      <protection locked="0"/>
    </xf>
    <xf numFmtId="0" fontId="20" fillId="0" borderId="19" xfId="0" applyFont="1" applyFill="1" applyBorder="1" applyAlignment="1" applyProtection="1">
      <alignment horizontal="left" vertical="center" wrapText="1"/>
      <protection/>
    </xf>
    <xf numFmtId="0" fontId="20" fillId="0" borderId="24" xfId="0" applyFont="1" applyFill="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69" fillId="36" borderId="60"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0" fontId="4" fillId="0" borderId="23"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20" fillId="0" borderId="19"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4" fillId="35" borderId="26" xfId="0" applyFont="1" applyFill="1" applyBorder="1" applyAlignment="1" applyProtection="1">
      <alignment horizontal="left" vertical="center" wrapText="1"/>
      <protection locked="0"/>
    </xf>
    <xf numFmtId="0" fontId="4" fillId="35" borderId="24" xfId="0" applyFont="1" applyFill="1" applyBorder="1" applyAlignment="1" applyProtection="1">
      <alignment horizontal="left" vertical="center" wrapText="1"/>
      <protection locked="0"/>
    </xf>
    <xf numFmtId="0" fontId="20" fillId="0" borderId="26"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26" xfId="0" applyFont="1" applyFill="1" applyBorder="1" applyAlignment="1" applyProtection="1">
      <alignment horizontal="center" vertical="center" wrapText="1"/>
      <protection/>
    </xf>
    <xf numFmtId="0" fontId="20" fillId="0" borderId="23" xfId="0" applyFont="1" applyFill="1" applyBorder="1" applyAlignment="1" applyProtection="1">
      <alignment horizontal="left" vertical="center" wrapText="1"/>
      <protection/>
    </xf>
    <xf numFmtId="0" fontId="20" fillId="0" borderId="50" xfId="0" applyFont="1" applyFill="1" applyBorder="1" applyAlignment="1" applyProtection="1">
      <alignment horizontal="left" vertical="center" wrapText="1"/>
      <protection/>
    </xf>
    <xf numFmtId="0" fontId="20" fillId="0" borderId="46" xfId="0" applyFont="1" applyFill="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69" fillId="36" borderId="62" xfId="0" applyFont="1" applyFill="1" applyBorder="1" applyAlignment="1" applyProtection="1">
      <alignment horizontal="center" vertical="center"/>
      <protection/>
    </xf>
    <xf numFmtId="0" fontId="20" fillId="0" borderId="23" xfId="0" applyFont="1" applyBorder="1" applyAlignment="1" applyProtection="1">
      <alignment horizontal="center" vertical="center" wrapText="1"/>
      <protection/>
    </xf>
    <xf numFmtId="0" fontId="20" fillId="0" borderId="50" xfId="0" applyFont="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20" fillId="0" borderId="18" xfId="0" applyFont="1" applyFill="1" applyBorder="1" applyAlignment="1" applyProtection="1">
      <alignment horizontal="center" vertical="center"/>
      <protection/>
    </xf>
    <xf numFmtId="0" fontId="20" fillId="0" borderId="23" xfId="0" applyFont="1" applyBorder="1" applyAlignment="1" applyProtection="1">
      <alignment horizontal="left" wrapText="1"/>
      <protection/>
    </xf>
    <xf numFmtId="0" fontId="20" fillId="0" borderId="50" xfId="0" applyFont="1" applyBorder="1" applyAlignment="1" applyProtection="1">
      <alignment horizontal="left" wrapText="1"/>
      <protection/>
    </xf>
    <xf numFmtId="0" fontId="5" fillId="0" borderId="0" xfId="0" applyFont="1" applyAlignment="1" applyProtection="1">
      <alignment horizontal="center" vertical="center"/>
      <protection locked="0"/>
    </xf>
    <xf numFmtId="0" fontId="4" fillId="0" borderId="50" xfId="0" applyFont="1" applyBorder="1" applyAlignment="1" applyProtection="1">
      <alignment horizontal="left" vertical="center" wrapText="1"/>
      <protection/>
    </xf>
    <xf numFmtId="0" fontId="20" fillId="0" borderId="23" xfId="0" applyFont="1" applyBorder="1" applyAlignment="1" applyProtection="1">
      <alignment horizontal="left" vertical="center" wrapText="1"/>
      <protection/>
    </xf>
    <xf numFmtId="0" fontId="20" fillId="0" borderId="50" xfId="0" applyFont="1" applyBorder="1" applyAlignment="1" applyProtection="1">
      <alignment horizontal="left" vertical="center" wrapText="1"/>
      <protection/>
    </xf>
    <xf numFmtId="0" fontId="20" fillId="0" borderId="46" xfId="0" applyFont="1" applyBorder="1" applyAlignment="1" applyProtection="1">
      <alignment horizontal="left" vertical="center" wrapText="1"/>
      <protection/>
    </xf>
    <xf numFmtId="0" fontId="4" fillId="35" borderId="26" xfId="0" applyFont="1" applyFill="1" applyBorder="1" applyAlignment="1" applyProtection="1">
      <alignment horizontal="center" vertical="center"/>
      <protection locked="0"/>
    </xf>
    <xf numFmtId="0" fontId="4" fillId="35" borderId="24"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20" fillId="0" borderId="26"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5" xfId="0" applyFont="1" applyBorder="1" applyAlignment="1" applyProtection="1">
      <alignment horizontal="left" wrapText="1"/>
      <protection/>
    </xf>
    <xf numFmtId="0" fontId="4" fillId="0" borderId="58" xfId="0" applyFont="1" applyBorder="1" applyAlignment="1" applyProtection="1">
      <alignment horizontal="left" wrapText="1"/>
      <protection/>
    </xf>
    <xf numFmtId="0" fontId="4" fillId="0" borderId="28" xfId="0" applyFont="1" applyBorder="1" applyAlignment="1" applyProtection="1">
      <alignment horizontal="left" vertical="top" wrapText="1"/>
      <protection/>
    </xf>
    <xf numFmtId="0" fontId="4" fillId="0" borderId="57" xfId="0" applyFont="1" applyBorder="1" applyAlignment="1" applyProtection="1">
      <alignment horizontal="left" vertical="top" wrapText="1"/>
      <protection/>
    </xf>
    <xf numFmtId="0" fontId="20" fillId="0" borderId="18" xfId="0" applyFont="1" applyFill="1" applyBorder="1" applyAlignment="1" applyProtection="1">
      <alignment horizontal="center" vertical="center" wrapText="1"/>
      <protection/>
    </xf>
    <xf numFmtId="0" fontId="6" fillId="0" borderId="0" xfId="0" applyFont="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horizontal="left" vertical="center"/>
    </xf>
    <xf numFmtId="0" fontId="4" fillId="0" borderId="24" xfId="0" applyFont="1" applyBorder="1" applyAlignment="1">
      <alignment horizontal="left" vertical="center"/>
    </xf>
    <xf numFmtId="176" fontId="4" fillId="0" borderId="0" xfId="0" applyNumberFormat="1" applyFont="1" applyAlignment="1">
      <alignment horizontal="righ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left" vertical="center" indent="1"/>
    </xf>
    <xf numFmtId="0" fontId="4" fillId="0" borderId="74" xfId="0" applyFont="1" applyBorder="1" applyAlignment="1">
      <alignment horizontal="center" vertical="center"/>
    </xf>
    <xf numFmtId="0" fontId="4" fillId="0" borderId="77"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0" xfId="0" applyFont="1" applyBorder="1" applyAlignment="1">
      <alignment horizontal="right" vertical="center"/>
    </xf>
    <xf numFmtId="0" fontId="4" fillId="0" borderId="78" xfId="0" applyFont="1" applyBorder="1" applyAlignment="1">
      <alignment horizontal="left" vertical="top"/>
    </xf>
    <xf numFmtId="0" fontId="4" fillId="0" borderId="79" xfId="0" applyFont="1" applyBorder="1" applyAlignment="1">
      <alignment horizontal="left" vertical="top"/>
    </xf>
    <xf numFmtId="0" fontId="4" fillId="0" borderId="80" xfId="0" applyFont="1" applyBorder="1" applyAlignment="1">
      <alignment horizontal="left" vertical="top"/>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wrapText="1" indent="1"/>
    </xf>
    <xf numFmtId="0" fontId="4" fillId="0" borderId="87" xfId="0" applyFont="1" applyBorder="1" applyAlignment="1">
      <alignment horizontal="left" vertical="center" wrapText="1" indent="1"/>
    </xf>
    <xf numFmtId="0" fontId="4" fillId="0" borderId="88" xfId="0" applyFont="1" applyBorder="1" applyAlignment="1">
      <alignment horizontal="left" vertical="center" wrapText="1" inden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center" vertical="center"/>
    </xf>
    <xf numFmtId="0" fontId="4" fillId="0" borderId="95" xfId="0" applyFont="1" applyBorder="1" applyAlignment="1">
      <alignment horizontal="left" vertical="center"/>
    </xf>
    <xf numFmtId="0" fontId="4" fillId="0" borderId="34" xfId="0" applyFont="1" applyBorder="1" applyAlignment="1">
      <alignment horizontal="left" vertical="center"/>
    </xf>
    <xf numFmtId="0" fontId="4" fillId="0" borderId="96"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2200275</xdr:colOff>
      <xdr:row>6</xdr:row>
      <xdr:rowOff>9525</xdr:rowOff>
    </xdr:from>
    <xdr:to>
      <xdr:col>5</xdr:col>
      <xdr:colOff>2724150</xdr:colOff>
      <xdr:row>8</xdr:row>
      <xdr:rowOff>38100</xdr:rowOff>
    </xdr:to>
    <xdr:grpSp>
      <xdr:nvGrpSpPr>
        <xdr:cNvPr id="1" name="Group 1"/>
        <xdr:cNvGrpSpPr>
          <a:grpSpLocks/>
        </xdr:cNvGrpSpPr>
      </xdr:nvGrpSpPr>
      <xdr:grpSpPr>
        <a:xfrm>
          <a:off x="8858250" y="990600"/>
          <a:ext cx="523875" cy="428625"/>
          <a:chOff x="776" y="151"/>
          <a:chExt cx="62" cy="86"/>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3" y="204"/>
            <a:ext cx="53" cy="33"/>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64"/>
  <sheetViews>
    <sheetView tabSelected="1" view="pageBreakPreview" zoomScale="70" zoomScaleNormal="80" zoomScaleSheetLayoutView="70" zoomScalePageLayoutView="0" workbookViewId="0" topLeftCell="A1">
      <selection activeCell="F11" sqref="F11"/>
    </sheetView>
  </sheetViews>
  <sheetFormatPr defaultColWidth="9.00390625" defaultRowHeight="13.5"/>
  <cols>
    <col min="1" max="1" width="5.375" style="48" customWidth="1"/>
    <col min="2" max="2" width="13.50390625" style="48" customWidth="1"/>
    <col min="3" max="3" width="8.00390625" style="48" customWidth="1"/>
    <col min="4" max="4" width="17.875" style="48" customWidth="1"/>
    <col min="5" max="5" width="36.75390625" style="48" customWidth="1"/>
    <col min="6" max="6" width="35.25390625" style="48" customWidth="1"/>
    <col min="7" max="7" width="10.00390625" style="48" customWidth="1"/>
    <col min="8" max="16384" width="9.00390625" style="48" customWidth="1"/>
  </cols>
  <sheetData>
    <row r="1" ht="9" customHeight="1"/>
    <row r="2" spans="2:3" ht="17.25">
      <c r="B2" s="49" t="s">
        <v>40</v>
      </c>
      <c r="C2" s="49"/>
    </row>
    <row r="3" spans="2:3" ht="13.5">
      <c r="B3" s="50" t="s">
        <v>64</v>
      </c>
      <c r="C3" s="50"/>
    </row>
    <row r="4" spans="2:3" ht="13.5">
      <c r="B4" s="50" t="s">
        <v>66</v>
      </c>
      <c r="C4" s="50"/>
    </row>
    <row r="5" spans="2:6" ht="27" customHeight="1" thickBot="1">
      <c r="B5" s="51" t="s">
        <v>2</v>
      </c>
      <c r="C5" s="51"/>
      <c r="D5" s="51" t="s">
        <v>39</v>
      </c>
      <c r="E5" s="52" t="s">
        <v>339</v>
      </c>
      <c r="F5" s="53" t="s">
        <v>44</v>
      </c>
    </row>
    <row r="6" spans="2:6" ht="37.5" customHeight="1" thickTop="1">
      <c r="B6" s="249" t="s">
        <v>38</v>
      </c>
      <c r="C6" s="54"/>
      <c r="D6" s="55" t="s">
        <v>42</v>
      </c>
      <c r="E6" s="44" t="s">
        <v>56</v>
      </c>
      <c r="F6" s="56" t="s">
        <v>45</v>
      </c>
    </row>
    <row r="7" spans="2:7" ht="37.5" customHeight="1">
      <c r="B7" s="250"/>
      <c r="C7" s="57"/>
      <c r="D7" s="58" t="s">
        <v>21</v>
      </c>
      <c r="E7" s="45" t="s">
        <v>58</v>
      </c>
      <c r="F7" s="56" t="s">
        <v>49</v>
      </c>
      <c r="G7" s="248" t="s">
        <v>50</v>
      </c>
    </row>
    <row r="8" spans="2:7" ht="37.5" customHeight="1">
      <c r="B8" s="251"/>
      <c r="C8" s="59"/>
      <c r="D8" s="58" t="s">
        <v>37</v>
      </c>
      <c r="E8" s="46">
        <v>12345</v>
      </c>
      <c r="F8" s="56" t="s">
        <v>65</v>
      </c>
      <c r="G8" s="248"/>
    </row>
    <row r="9" spans="2:7" ht="37.5" customHeight="1">
      <c r="B9" s="249" t="s">
        <v>19</v>
      </c>
      <c r="C9" s="54"/>
      <c r="D9" s="58" t="s">
        <v>17</v>
      </c>
      <c r="E9" s="45" t="s">
        <v>57</v>
      </c>
      <c r="F9" s="60" t="s">
        <v>46</v>
      </c>
      <c r="G9" s="248"/>
    </row>
    <row r="10" spans="2:7" ht="37.5" customHeight="1">
      <c r="B10" s="250"/>
      <c r="C10" s="57"/>
      <c r="D10" s="58" t="s">
        <v>15</v>
      </c>
      <c r="E10" s="45" t="s">
        <v>52</v>
      </c>
      <c r="F10" s="56" t="s">
        <v>47</v>
      </c>
      <c r="G10" s="248"/>
    </row>
    <row r="11" spans="2:6" ht="37.5" customHeight="1">
      <c r="B11" s="250"/>
      <c r="C11" s="57"/>
      <c r="D11" s="58" t="s">
        <v>43</v>
      </c>
      <c r="E11" s="45" t="s">
        <v>60</v>
      </c>
      <c r="F11" s="56" t="s">
        <v>51</v>
      </c>
    </row>
    <row r="12" spans="2:6" ht="37.5" customHeight="1">
      <c r="B12" s="250"/>
      <c r="C12" s="57"/>
      <c r="D12" s="58" t="s">
        <v>139</v>
      </c>
      <c r="E12" s="46">
        <v>56789</v>
      </c>
      <c r="F12" s="56" t="s">
        <v>51</v>
      </c>
    </row>
    <row r="13" spans="2:6" ht="37.5" customHeight="1">
      <c r="B13" s="250"/>
      <c r="C13" s="57"/>
      <c r="D13" s="58" t="s">
        <v>41</v>
      </c>
      <c r="E13" s="45" t="s">
        <v>53</v>
      </c>
      <c r="F13" s="252" t="s">
        <v>48</v>
      </c>
    </row>
    <row r="14" spans="2:6" ht="37.5" customHeight="1">
      <c r="B14" s="250"/>
      <c r="C14" s="57"/>
      <c r="D14" s="58" t="s">
        <v>13</v>
      </c>
      <c r="E14" s="45" t="s">
        <v>54</v>
      </c>
      <c r="F14" s="253"/>
    </row>
    <row r="15" spans="2:6" ht="37.5" customHeight="1" thickBot="1">
      <c r="B15" s="251"/>
      <c r="C15" s="59"/>
      <c r="D15" s="58" t="s">
        <v>14</v>
      </c>
      <c r="E15" s="47" t="s">
        <v>55</v>
      </c>
      <c r="F15" s="254"/>
    </row>
    <row r="16" ht="37.5" customHeight="1" thickTop="1"/>
    <row r="17" spans="2:3" ht="17.25">
      <c r="B17" s="49" t="s">
        <v>67</v>
      </c>
      <c r="C17" s="49"/>
    </row>
    <row r="18" spans="2:6" ht="18" customHeight="1" thickBot="1">
      <c r="B18" s="243" t="s">
        <v>39</v>
      </c>
      <c r="C18" s="243"/>
      <c r="D18" s="243"/>
      <c r="E18" s="61" t="s">
        <v>338</v>
      </c>
      <c r="F18" s="62" t="s">
        <v>44</v>
      </c>
    </row>
    <row r="19" spans="2:6" ht="37.5" customHeight="1" thickTop="1">
      <c r="B19" s="244" t="s">
        <v>38</v>
      </c>
      <c r="C19" s="245"/>
      <c r="D19" s="64" t="s">
        <v>3</v>
      </c>
      <c r="E19" s="65" t="s">
        <v>380</v>
      </c>
      <c r="F19" s="66"/>
    </row>
    <row r="20" spans="2:6" ht="23.25" customHeight="1">
      <c r="B20" s="246"/>
      <c r="C20" s="247"/>
      <c r="D20" s="255" t="s">
        <v>155</v>
      </c>
      <c r="E20" s="107" t="s">
        <v>381</v>
      </c>
      <c r="F20" s="103" t="s">
        <v>147</v>
      </c>
    </row>
    <row r="21" spans="2:6" ht="21.75" customHeight="1">
      <c r="B21" s="246"/>
      <c r="C21" s="247"/>
      <c r="D21" s="256"/>
      <c r="E21" s="108" t="s">
        <v>382</v>
      </c>
      <c r="F21" s="104" t="s">
        <v>153</v>
      </c>
    </row>
    <row r="22" spans="2:6" ht="21.75" customHeight="1">
      <c r="B22" s="246"/>
      <c r="C22" s="247"/>
      <c r="D22" s="256"/>
      <c r="E22" s="109" t="s">
        <v>383</v>
      </c>
      <c r="F22" s="106" t="s">
        <v>156</v>
      </c>
    </row>
    <row r="23" spans="2:6" ht="21.75" customHeight="1">
      <c r="B23" s="246"/>
      <c r="C23" s="247"/>
      <c r="D23" s="257"/>
      <c r="E23" s="110" t="s">
        <v>384</v>
      </c>
      <c r="F23" s="105" t="s">
        <v>154</v>
      </c>
    </row>
    <row r="24" spans="2:6" ht="37.5" customHeight="1">
      <c r="B24" s="246"/>
      <c r="C24" s="247"/>
      <c r="D24" s="67" t="s">
        <v>97</v>
      </c>
      <c r="E24" s="98">
        <v>42303</v>
      </c>
      <c r="F24" s="100" t="s">
        <v>343</v>
      </c>
    </row>
    <row r="25" spans="2:6" ht="37.5" customHeight="1">
      <c r="B25" s="246"/>
      <c r="C25" s="247"/>
      <c r="D25" s="68" t="s">
        <v>98</v>
      </c>
      <c r="E25" s="98">
        <v>42312</v>
      </c>
      <c r="F25" s="100" t="s">
        <v>343</v>
      </c>
    </row>
    <row r="26" spans="2:6" ht="37.5" customHeight="1">
      <c r="B26" s="246"/>
      <c r="C26" s="247"/>
      <c r="D26" s="68" t="s">
        <v>121</v>
      </c>
      <c r="E26" s="98">
        <v>42317</v>
      </c>
      <c r="F26" s="100" t="s">
        <v>343</v>
      </c>
    </row>
    <row r="27" spans="2:6" ht="37.5" customHeight="1">
      <c r="B27" s="246"/>
      <c r="C27" s="247"/>
      <c r="D27" s="68" t="s">
        <v>122</v>
      </c>
      <c r="E27" s="98">
        <v>42319</v>
      </c>
      <c r="F27" s="100" t="s">
        <v>343</v>
      </c>
    </row>
    <row r="28" spans="2:6" ht="37.5" customHeight="1">
      <c r="B28" s="246"/>
      <c r="C28" s="247"/>
      <c r="D28" s="68" t="s">
        <v>341</v>
      </c>
      <c r="E28" s="98">
        <v>42334</v>
      </c>
      <c r="F28" s="100" t="s">
        <v>343</v>
      </c>
    </row>
    <row r="29" spans="2:6" ht="37.5" customHeight="1" thickBot="1">
      <c r="B29" s="246"/>
      <c r="C29" s="247"/>
      <c r="D29" s="68" t="s">
        <v>123</v>
      </c>
      <c r="E29" s="99">
        <v>42347</v>
      </c>
      <c r="F29" s="100" t="s">
        <v>343</v>
      </c>
    </row>
    <row r="30" spans="2:6" s="71" customFormat="1" ht="52.5" customHeight="1" thickTop="1">
      <c r="B30" s="69"/>
      <c r="C30" s="69"/>
      <c r="D30" s="69"/>
      <c r="E30" s="70"/>
      <c r="F30" s="96"/>
    </row>
    <row r="31" spans="2:6" ht="37.5" customHeight="1" thickBot="1">
      <c r="B31" s="72" t="s">
        <v>2</v>
      </c>
      <c r="C31" s="63" t="s">
        <v>111</v>
      </c>
      <c r="D31" s="73" t="s">
        <v>39</v>
      </c>
      <c r="E31" s="74" t="s">
        <v>338</v>
      </c>
      <c r="F31" s="72" t="s">
        <v>44</v>
      </c>
    </row>
    <row r="32" spans="2:6" ht="37.5" customHeight="1" thickTop="1">
      <c r="B32" s="64" t="s">
        <v>25</v>
      </c>
      <c r="C32" s="90" t="s">
        <v>372</v>
      </c>
      <c r="D32" s="85" t="s">
        <v>68</v>
      </c>
      <c r="E32" s="65" t="s">
        <v>157</v>
      </c>
      <c r="F32" s="75" t="s">
        <v>148</v>
      </c>
    </row>
    <row r="33" spans="2:6" ht="37.5" customHeight="1">
      <c r="B33" s="64" t="s">
        <v>27</v>
      </c>
      <c r="C33" s="91" t="s">
        <v>124</v>
      </c>
      <c r="D33" s="85" t="s">
        <v>5</v>
      </c>
      <c r="E33" s="76" t="s">
        <v>386</v>
      </c>
      <c r="F33" s="75" t="s">
        <v>148</v>
      </c>
    </row>
    <row r="34" spans="2:6" ht="43.5" customHeight="1">
      <c r="B34" s="64" t="s">
        <v>30</v>
      </c>
      <c r="C34" s="91" t="s">
        <v>372</v>
      </c>
      <c r="D34" s="85" t="s">
        <v>6</v>
      </c>
      <c r="E34" s="76" t="s">
        <v>158</v>
      </c>
      <c r="F34" s="75" t="s">
        <v>148</v>
      </c>
    </row>
    <row r="35" spans="2:6" ht="37.5" customHeight="1">
      <c r="B35" s="64" t="s">
        <v>31</v>
      </c>
      <c r="C35" s="91" t="s">
        <v>124</v>
      </c>
      <c r="D35" s="85" t="s">
        <v>7</v>
      </c>
      <c r="E35" s="76" t="s">
        <v>387</v>
      </c>
      <c r="F35" s="75" t="s">
        <v>148</v>
      </c>
    </row>
    <row r="36" spans="2:6" ht="37.5" customHeight="1">
      <c r="B36" s="64" t="s">
        <v>33</v>
      </c>
      <c r="C36" s="91" t="s">
        <v>372</v>
      </c>
      <c r="D36" s="85" t="s">
        <v>8</v>
      </c>
      <c r="E36" s="76" t="s">
        <v>159</v>
      </c>
      <c r="F36" s="75" t="s">
        <v>148</v>
      </c>
    </row>
    <row r="37" spans="2:6" ht="37.5" customHeight="1">
      <c r="B37" s="64" t="s">
        <v>35</v>
      </c>
      <c r="C37" s="91" t="s">
        <v>372</v>
      </c>
      <c r="D37" s="85" t="s">
        <v>9</v>
      </c>
      <c r="E37" s="76" t="s">
        <v>160</v>
      </c>
      <c r="F37" s="75" t="s">
        <v>148</v>
      </c>
    </row>
    <row r="38" spans="2:6" ht="72.75" customHeight="1">
      <c r="B38" s="68" t="s">
        <v>101</v>
      </c>
      <c r="C38" s="91" t="s">
        <v>124</v>
      </c>
      <c r="D38" s="85" t="s">
        <v>330</v>
      </c>
      <c r="E38" s="76" t="s">
        <v>388</v>
      </c>
      <c r="F38" s="75" t="s">
        <v>149</v>
      </c>
    </row>
    <row r="39" spans="2:7" ht="37.5" customHeight="1">
      <c r="B39" s="68" t="s">
        <v>102</v>
      </c>
      <c r="C39" s="91" t="s">
        <v>372</v>
      </c>
      <c r="D39" s="85" t="s">
        <v>115</v>
      </c>
      <c r="E39" s="76" t="s">
        <v>376</v>
      </c>
      <c r="F39" s="75" t="s">
        <v>150</v>
      </c>
      <c r="G39" s="77"/>
    </row>
    <row r="40" spans="2:7" ht="37.5" customHeight="1">
      <c r="B40" s="68" t="s">
        <v>103</v>
      </c>
      <c r="C40" s="91" t="s">
        <v>372</v>
      </c>
      <c r="D40" s="86" t="s">
        <v>164</v>
      </c>
      <c r="E40" s="78" t="s">
        <v>340</v>
      </c>
      <c r="F40" s="75" t="s">
        <v>151</v>
      </c>
      <c r="G40" s="77"/>
    </row>
    <row r="41" spans="2:7" ht="37.5" customHeight="1">
      <c r="B41" s="68" t="s">
        <v>104</v>
      </c>
      <c r="C41" s="91" t="s">
        <v>124</v>
      </c>
      <c r="D41" s="85" t="s">
        <v>331</v>
      </c>
      <c r="E41" s="76" t="s">
        <v>388</v>
      </c>
      <c r="F41" s="75" t="s">
        <v>149</v>
      </c>
      <c r="G41" s="77"/>
    </row>
    <row r="42" spans="2:7" ht="37.5" customHeight="1">
      <c r="B42" s="68" t="s">
        <v>105</v>
      </c>
      <c r="C42" s="91" t="s">
        <v>372</v>
      </c>
      <c r="D42" s="85" t="s">
        <v>332</v>
      </c>
      <c r="E42" s="79"/>
      <c r="F42" s="80"/>
      <c r="G42" s="77"/>
    </row>
    <row r="43" spans="2:7" ht="37.5" customHeight="1">
      <c r="B43" s="68" t="s">
        <v>106</v>
      </c>
      <c r="C43" s="91" t="s">
        <v>372</v>
      </c>
      <c r="D43" s="87" t="s">
        <v>166</v>
      </c>
      <c r="E43" s="78" t="s">
        <v>161</v>
      </c>
      <c r="F43" s="75" t="s">
        <v>151</v>
      </c>
      <c r="G43" s="77"/>
    </row>
    <row r="44" spans="2:6" ht="36" customHeight="1">
      <c r="B44" s="68" t="s">
        <v>107</v>
      </c>
      <c r="C44" s="91" t="s">
        <v>385</v>
      </c>
      <c r="D44" s="125" t="s">
        <v>294</v>
      </c>
      <c r="E44" s="126"/>
      <c r="F44" s="83"/>
    </row>
    <row r="45" spans="2:7" ht="37.5" customHeight="1">
      <c r="B45" s="68" t="s">
        <v>108</v>
      </c>
      <c r="C45" s="91" t="s">
        <v>372</v>
      </c>
      <c r="D45" s="88" t="s">
        <v>99</v>
      </c>
      <c r="E45" s="79"/>
      <c r="F45" s="80"/>
      <c r="G45" s="81"/>
    </row>
    <row r="46" spans="2:6" ht="37.5" customHeight="1">
      <c r="B46" s="68" t="s">
        <v>109</v>
      </c>
      <c r="C46" s="91" t="s">
        <v>372</v>
      </c>
      <c r="D46" s="86" t="s">
        <v>309</v>
      </c>
      <c r="E46" s="82" t="s">
        <v>162</v>
      </c>
      <c r="F46" s="83" t="s">
        <v>152</v>
      </c>
    </row>
    <row r="47" spans="2:6" ht="36.75" customHeight="1">
      <c r="B47" s="68" t="s">
        <v>110</v>
      </c>
      <c r="C47" s="91" t="s">
        <v>372</v>
      </c>
      <c r="D47" s="111" t="s">
        <v>333</v>
      </c>
      <c r="E47" s="84"/>
      <c r="F47" s="83"/>
    </row>
    <row r="48" spans="2:6" ht="36.75" customHeight="1">
      <c r="B48" s="68" t="s">
        <v>273</v>
      </c>
      <c r="C48" s="91" t="s">
        <v>372</v>
      </c>
      <c r="D48" s="89" t="s">
        <v>334</v>
      </c>
      <c r="E48" s="127"/>
      <c r="F48" s="83"/>
    </row>
    <row r="49" spans="2:6" ht="36" customHeight="1">
      <c r="B49" s="235" t="s">
        <v>275</v>
      </c>
      <c r="C49" s="237" t="s">
        <v>372</v>
      </c>
      <c r="D49" s="239" t="s">
        <v>335</v>
      </c>
      <c r="E49" s="124">
        <v>75</v>
      </c>
      <c r="F49" s="241" t="s">
        <v>274</v>
      </c>
    </row>
    <row r="50" spans="2:6" ht="36" customHeight="1">
      <c r="B50" s="236"/>
      <c r="C50" s="238"/>
      <c r="D50" s="240"/>
      <c r="E50" s="124">
        <v>50</v>
      </c>
      <c r="F50" s="242"/>
    </row>
    <row r="51" spans="2:6" ht="36" customHeight="1">
      <c r="B51" s="68" t="s">
        <v>276</v>
      </c>
      <c r="C51" s="91" t="s">
        <v>372</v>
      </c>
      <c r="D51" s="125" t="s">
        <v>336</v>
      </c>
      <c r="E51" s="126"/>
      <c r="F51" s="83"/>
    </row>
    <row r="52" spans="2:6" ht="36" customHeight="1">
      <c r="B52" s="68" t="s">
        <v>295</v>
      </c>
      <c r="C52" s="91" t="s">
        <v>372</v>
      </c>
      <c r="D52" s="173" t="s">
        <v>337</v>
      </c>
      <c r="E52" s="126"/>
      <c r="F52" s="83"/>
    </row>
    <row r="53" spans="2:6" ht="35.25" customHeight="1">
      <c r="B53" s="68"/>
      <c r="C53" s="91" t="s">
        <v>372</v>
      </c>
      <c r="D53" s="85" t="s">
        <v>297</v>
      </c>
      <c r="E53" s="126"/>
      <c r="F53" s="75" t="s">
        <v>296</v>
      </c>
    </row>
    <row r="54" spans="2:6" ht="35.25" customHeight="1" thickBot="1">
      <c r="B54" s="68"/>
      <c r="C54" s="169" t="s">
        <v>372</v>
      </c>
      <c r="D54" s="166" t="s">
        <v>298</v>
      </c>
      <c r="E54" s="170"/>
      <c r="F54" s="75" t="s">
        <v>296</v>
      </c>
    </row>
    <row r="55" ht="14.25" thickTop="1"/>
    <row r="56" spans="2:5" ht="13.5">
      <c r="B56" s="207"/>
      <c r="C56" s="203"/>
      <c r="D56" s="179" t="s">
        <v>342</v>
      </c>
      <c r="E56" s="180"/>
    </row>
    <row r="57" spans="2:6" ht="13.5">
      <c r="B57" s="207"/>
      <c r="C57" s="203"/>
      <c r="D57" s="183" t="s">
        <v>349</v>
      </c>
      <c r="E57" s="204">
        <f>EOMONTH(E28,-3-24)+1</f>
        <v>41518</v>
      </c>
      <c r="F57" s="48" t="s">
        <v>354</v>
      </c>
    </row>
    <row r="58" spans="2:5" ht="13.5">
      <c r="B58" s="206"/>
      <c r="C58" s="182"/>
      <c r="D58" s="181" t="s">
        <v>350</v>
      </c>
      <c r="E58" s="205">
        <f>YEAR(E57)-1988</f>
        <v>25</v>
      </c>
    </row>
    <row r="59" spans="2:5" ht="13.5">
      <c r="B59" s="206"/>
      <c r="C59" s="184"/>
      <c r="D59" s="185" t="s">
        <v>351</v>
      </c>
      <c r="E59" s="188">
        <f>MONTH(E57)</f>
        <v>9</v>
      </c>
    </row>
    <row r="60" spans="2:6" ht="13.5">
      <c r="B60" s="206"/>
      <c r="C60" s="184"/>
      <c r="D60" s="181" t="s">
        <v>352</v>
      </c>
      <c r="E60" s="208">
        <f>EOMONTH(E28,-3)</f>
        <v>42247</v>
      </c>
      <c r="F60" s="48" t="s">
        <v>355</v>
      </c>
    </row>
    <row r="61" spans="2:5" ht="13.5">
      <c r="B61" s="184"/>
      <c r="C61" s="184"/>
      <c r="D61" s="186" t="s">
        <v>350</v>
      </c>
      <c r="E61" s="205">
        <f>YEAR(E60)-1988</f>
        <v>27</v>
      </c>
    </row>
    <row r="62" spans="2:5" ht="13.5">
      <c r="B62" s="206"/>
      <c r="C62" s="184"/>
      <c r="D62" s="181" t="s">
        <v>351</v>
      </c>
      <c r="E62" s="205">
        <f>MONTH(E60)</f>
        <v>8</v>
      </c>
    </row>
    <row r="63" spans="2:5" ht="13.5">
      <c r="B63" s="184"/>
      <c r="C63" s="184"/>
      <c r="D63" s="187" t="s">
        <v>353</v>
      </c>
      <c r="E63" s="188">
        <f>DAY(E60)</f>
        <v>31</v>
      </c>
    </row>
    <row r="64" spans="2:3" ht="13.5">
      <c r="B64" s="207"/>
      <c r="C64" s="207"/>
    </row>
  </sheetData>
  <sheetProtection password="E7B6" sheet="1"/>
  <mergeCells count="11">
    <mergeCell ref="G7:G10"/>
    <mergeCell ref="B6:B8"/>
    <mergeCell ref="B9:B15"/>
    <mergeCell ref="F13:F15"/>
    <mergeCell ref="D20:D23"/>
    <mergeCell ref="B49:B50"/>
    <mergeCell ref="C49:C50"/>
    <mergeCell ref="D49:D50"/>
    <mergeCell ref="F49:F50"/>
    <mergeCell ref="B18:D18"/>
    <mergeCell ref="B19:C29"/>
  </mergeCells>
  <conditionalFormatting sqref="C32:C48">
    <cfRule type="cellIs" priority="3" dxfId="9" operator="equal" stopIfTrue="1">
      <formula>"適用"</formula>
    </cfRule>
  </conditionalFormatting>
  <conditionalFormatting sqref="C49:C53">
    <cfRule type="cellIs" priority="2" dxfId="9" operator="equal" stopIfTrue="1">
      <formula>"適用"</formula>
    </cfRule>
  </conditionalFormatting>
  <conditionalFormatting sqref="C54">
    <cfRule type="cellIs" priority="1" dxfId="9" operator="equal" stopIfTrue="1">
      <formula>"適用"</formula>
    </cfRule>
  </conditionalFormatting>
  <dataValidations count="5">
    <dataValidation type="list" allowBlank="1" showInputMessage="1" showErrorMessage="1" sqref="E43 E40">
      <formula1>"土木（土木・造園）,建築,設備"</formula1>
    </dataValidation>
    <dataValidation type="list" allowBlank="1" showInputMessage="1" showErrorMessage="1" sqref="E3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5 E42"/>
    <dataValidation allowBlank="1" showInputMessage="1" showErrorMessage="1" imeMode="halfAlpha" sqref="E14:E15"/>
    <dataValidation type="list" allowBlank="1" showInputMessage="1" showErrorMessage="1" sqref="C32:C54">
      <formula1>"適用,不適用"</formula1>
    </dataValidation>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34</v>
      </c>
      <c r="B5" s="422"/>
      <c r="C5" s="422"/>
      <c r="D5" s="422"/>
      <c r="E5" s="422"/>
      <c r="F5" s="422"/>
      <c r="G5" s="422"/>
      <c r="H5" s="422"/>
      <c r="I5" s="422"/>
      <c r="J5" s="422"/>
      <c r="K5" s="422"/>
      <c r="L5" s="422"/>
      <c r="M5" s="422"/>
      <c r="N5" s="422"/>
    </row>
    <row r="7" spans="1:14" ht="27" customHeight="1">
      <c r="A7" s="10" t="s">
        <v>3</v>
      </c>
      <c r="B7" s="437" t="str">
        <f>'入力シート'!E19</f>
        <v>高速横浜環状北西線（下谷本地区）地盤改良工事（その２）</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IF('入力シート'!C36="適用",'入力シート'!E36,"今回工事ではこの項目を適用しません。")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73</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12:N12"/>
    <mergeCell ref="A10:D10"/>
    <mergeCell ref="E10:N10"/>
    <mergeCell ref="A8:B8"/>
    <mergeCell ref="C8:E8"/>
    <mergeCell ref="A13:D13"/>
    <mergeCell ref="A16:D16"/>
    <mergeCell ref="E35:N35"/>
    <mergeCell ref="E34:N34"/>
    <mergeCell ref="L2:N2"/>
    <mergeCell ref="A14:D14"/>
    <mergeCell ref="E14:N14"/>
    <mergeCell ref="A15:D15"/>
    <mergeCell ref="E15:N15"/>
    <mergeCell ref="B7:N7"/>
    <mergeCell ref="A4:N4"/>
    <mergeCell ref="A5:N5"/>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36</v>
      </c>
      <c r="B5" s="422"/>
      <c r="C5" s="422"/>
      <c r="D5" s="422"/>
      <c r="E5" s="422"/>
      <c r="F5" s="422"/>
      <c r="G5" s="422"/>
      <c r="H5" s="422"/>
      <c r="I5" s="422"/>
      <c r="J5" s="422"/>
      <c r="K5" s="422"/>
      <c r="L5" s="422"/>
      <c r="M5" s="422"/>
      <c r="N5" s="422"/>
    </row>
    <row r="7" spans="1:14" ht="27" customHeight="1">
      <c r="A7" s="10" t="s">
        <v>3</v>
      </c>
      <c r="B7" s="437" t="str">
        <f>'入力シート'!E19</f>
        <v>高速横浜環状北西線（下谷本地区）地盤改良工事（その２）</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IF('入力シート'!C37="適用",'入力シート'!E37,"今回工事ではこの項目を適用しません。")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74</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A18:D18"/>
    <mergeCell ref="A19:D19"/>
    <mergeCell ref="E34:N34"/>
    <mergeCell ref="E33:N33"/>
    <mergeCell ref="A32:D32"/>
    <mergeCell ref="E32:N32"/>
    <mergeCell ref="E30:N30"/>
    <mergeCell ref="E31:N31"/>
    <mergeCell ref="A21:D21"/>
    <mergeCell ref="A23:D23"/>
    <mergeCell ref="L2:N2"/>
    <mergeCell ref="A14:D14"/>
    <mergeCell ref="E14:N14"/>
    <mergeCell ref="A17:D17"/>
    <mergeCell ref="E17:N17"/>
    <mergeCell ref="C8:E8"/>
    <mergeCell ref="B7:N7"/>
    <mergeCell ref="A4:N4"/>
    <mergeCell ref="A5:N5"/>
    <mergeCell ref="A8:B8"/>
    <mergeCell ref="E29:N29"/>
    <mergeCell ref="A10:D10"/>
    <mergeCell ref="E10:N10"/>
    <mergeCell ref="A20:D20"/>
    <mergeCell ref="A22:D22"/>
    <mergeCell ref="E18:N18"/>
    <mergeCell ref="A16:D16"/>
    <mergeCell ref="A15:D15"/>
    <mergeCell ref="A13:D13"/>
    <mergeCell ref="A12:N12"/>
    <mergeCell ref="E35:N35"/>
    <mergeCell ref="E16:N16"/>
    <mergeCell ref="E13:N13"/>
    <mergeCell ref="E21:N21"/>
    <mergeCell ref="E19:N19"/>
    <mergeCell ref="E15:N15"/>
    <mergeCell ref="E22:N22"/>
    <mergeCell ref="E23:N23"/>
    <mergeCell ref="E24:N24"/>
    <mergeCell ref="E20:N20"/>
    <mergeCell ref="A24:D24"/>
    <mergeCell ref="E28:N28"/>
    <mergeCell ref="E25:N25"/>
    <mergeCell ref="E26:N26"/>
    <mergeCell ref="E27:N27"/>
    <mergeCell ref="A27:D27"/>
    <mergeCell ref="A25:D25"/>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8"/>
  <sheetViews>
    <sheetView zoomScalePageLayoutView="0" workbookViewId="0" topLeftCell="A7">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259" t="s">
        <v>135</v>
      </c>
      <c r="C2" s="259"/>
      <c r="D2" s="259"/>
    </row>
    <row r="3" spans="2:4" ht="15.75" customHeight="1">
      <c r="B3" s="92"/>
      <c r="C3" s="92"/>
      <c r="D3" s="92"/>
    </row>
    <row r="4" spans="2:4" ht="28.5">
      <c r="B4" s="259" t="s">
        <v>137</v>
      </c>
      <c r="C4" s="259"/>
      <c r="D4" s="259"/>
    </row>
    <row r="5" spans="2:4" ht="13.5" customHeight="1">
      <c r="B5" s="92"/>
      <c r="C5" s="92"/>
      <c r="D5" s="92"/>
    </row>
    <row r="6" spans="2:4" ht="28.5">
      <c r="B6" s="261">
        <f>IF(OR('入力シート'!C51="適用",'入力シート'!C52="適用"),"『地域貢献評価型』","")</f>
      </c>
      <c r="C6" s="261"/>
      <c r="D6" s="261"/>
    </row>
    <row r="7" spans="2:4" ht="28.5">
      <c r="B7" s="261">
        <f>IF('入力シート'!C49="適用","『市内企業活用評価型』","")</f>
      </c>
      <c r="C7" s="261"/>
      <c r="D7" s="261"/>
    </row>
    <row r="8" spans="2:4" ht="28.5">
      <c r="B8" s="261">
        <f>IF('入力シート'!C44="適用","『若手技術者活用評価型』","")</f>
      </c>
      <c r="C8" s="261"/>
      <c r="D8" s="261"/>
    </row>
    <row r="10" spans="2:4" ht="43.5" customHeight="1">
      <c r="B10" s="93"/>
      <c r="C10" s="93"/>
      <c r="D10" s="93"/>
    </row>
    <row r="11" spans="2:4" ht="73.5" customHeight="1">
      <c r="B11" s="94" t="s">
        <v>3</v>
      </c>
      <c r="C11" s="94"/>
      <c r="D11" s="95" t="str">
        <f>'入力シート'!E19</f>
        <v>高速横浜環状北西線（下谷本地区）地盤改良工事（その２）</v>
      </c>
    </row>
    <row r="12" spans="2:4" ht="118.5" customHeight="1">
      <c r="B12" s="93"/>
      <c r="C12" s="93"/>
      <c r="D12" s="93"/>
    </row>
    <row r="13" spans="2:4" ht="28.5">
      <c r="B13" s="259" t="s">
        <v>136</v>
      </c>
      <c r="C13" s="259"/>
      <c r="D13" s="259"/>
    </row>
    <row r="14" spans="2:4" ht="13.5">
      <c r="B14" s="260" t="s">
        <v>379</v>
      </c>
      <c r="C14" s="260"/>
      <c r="D14" s="260"/>
    </row>
    <row r="15" spans="2:4" ht="16.5" customHeight="1">
      <c r="B15" s="93"/>
      <c r="C15" s="93"/>
      <c r="D15" s="93"/>
    </row>
    <row r="16" spans="2:4" ht="13.5">
      <c r="B16" s="1" t="s">
        <v>146</v>
      </c>
      <c r="C16" s="1"/>
      <c r="D16" s="1"/>
    </row>
    <row r="17" spans="2:4" ht="13.5">
      <c r="B17" s="1"/>
      <c r="C17" s="1" t="str">
        <f>'入力シート'!E20</f>
        <v>道路局横浜環状北西線建設課</v>
      </c>
      <c r="D17" s="1"/>
    </row>
    <row r="18" spans="2:4" ht="13.5">
      <c r="B18" s="1"/>
      <c r="C18" s="1" t="str">
        <f>'入力シート'!E21</f>
        <v>横浜市中区港町１－１</v>
      </c>
      <c r="D18" s="1"/>
    </row>
    <row r="19" spans="2:4" ht="13.5">
      <c r="B19" s="1"/>
      <c r="C19" s="1" t="str">
        <f>"ＴＥＬ　　"&amp;'入力シート'!E22&amp;"　　　　　　　　　ＦＡＸ　　"&amp;'入力シート'!E23</f>
        <v>ＴＥＬ　　671-3496　　　　　　　　　ＦＡＸ　　651-3269</v>
      </c>
      <c r="D19" s="1"/>
    </row>
    <row r="21" spans="2:4" ht="13.5">
      <c r="B21" s="1" t="s">
        <v>144</v>
      </c>
      <c r="C21" s="1"/>
      <c r="D21" s="1"/>
    </row>
    <row r="22" spans="2:4" ht="6" customHeight="1">
      <c r="B22" s="1"/>
      <c r="C22" s="1"/>
      <c r="D22" s="1"/>
    </row>
    <row r="23" spans="2:4" ht="13.5">
      <c r="B23" s="1"/>
      <c r="C23" s="258">
        <f>'入力シート'!E24</f>
        <v>42303</v>
      </c>
      <c r="D23" s="258"/>
    </row>
    <row r="24" spans="2:4" ht="5.25" customHeight="1">
      <c r="B24" s="1"/>
      <c r="C24" s="102"/>
      <c r="D24" s="102"/>
    </row>
    <row r="25" spans="2:4" ht="13.5">
      <c r="B25" s="1" t="s">
        <v>145</v>
      </c>
      <c r="C25" s="1"/>
      <c r="D25" s="1"/>
    </row>
    <row r="27" spans="2:4" ht="13.5">
      <c r="B27" s="18"/>
      <c r="C27" s="18"/>
      <c r="D27" s="18"/>
    </row>
    <row r="28" spans="2:4" ht="13.5">
      <c r="B28" s="18"/>
      <c r="C28" s="18"/>
      <c r="D28" s="18"/>
    </row>
  </sheetData>
  <sheetProtection password="E7B6" sheet="1" formatCells="0" formatRows="0" insertRows="0"/>
  <mergeCells count="8">
    <mergeCell ref="C23:D23"/>
    <mergeCell ref="B2:D2"/>
    <mergeCell ref="B4:D4"/>
    <mergeCell ref="B13:D13"/>
    <mergeCell ref="B14:D14"/>
    <mergeCell ref="B6:D6"/>
    <mergeCell ref="B7:D7"/>
    <mergeCell ref="B8:D8"/>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71"/>
  <sheetViews>
    <sheetView view="pageBreakPreview" zoomScale="80" zoomScaleNormal="90" zoomScaleSheetLayoutView="80" zoomScalePageLayoutView="0" workbookViewId="0" topLeftCell="A13">
      <selection activeCell="A1" sqref="A1"/>
    </sheetView>
  </sheetViews>
  <sheetFormatPr defaultColWidth="9.00390625" defaultRowHeight="13.5"/>
  <cols>
    <col min="1" max="1" width="2.875" style="1" customWidth="1"/>
    <col min="2" max="2" width="3.125" style="1" customWidth="1"/>
    <col min="3" max="3" width="2.625" style="1" customWidth="1"/>
    <col min="4" max="4" width="5.00390625" style="1" customWidth="1"/>
    <col min="5" max="5" width="6.375" style="1" customWidth="1"/>
    <col min="6" max="6" width="27.75390625" style="15" customWidth="1"/>
    <col min="7" max="7" width="19.625" style="15" customWidth="1"/>
    <col min="8" max="8" width="20.875" style="15" customWidth="1"/>
    <col min="9" max="9" width="11.125" style="15" customWidth="1"/>
    <col min="10" max="10" width="4.75390625" style="1" customWidth="1"/>
    <col min="11" max="16384" width="9.00390625" style="1" customWidth="1"/>
  </cols>
  <sheetData>
    <row r="1" ht="14.25" customHeight="1">
      <c r="A1" s="1" t="s">
        <v>168</v>
      </c>
    </row>
    <row r="2" ht="14.25" customHeight="1"/>
    <row r="3" spans="1:10" ht="14.25" customHeight="1">
      <c r="A3" s="276" t="s">
        <v>169</v>
      </c>
      <c r="B3" s="276"/>
      <c r="C3" s="276"/>
      <c r="D3" s="276"/>
      <c r="E3" s="276"/>
      <c r="F3" s="276"/>
      <c r="G3" s="276"/>
      <c r="H3" s="276"/>
      <c r="I3" s="276"/>
      <c r="J3" s="276"/>
    </row>
    <row r="4" spans="1:10" ht="14.25" customHeight="1">
      <c r="A4" s="13"/>
      <c r="B4" s="131" t="s">
        <v>170</v>
      </c>
      <c r="C4" s="263" t="s">
        <v>317</v>
      </c>
      <c r="D4" s="263"/>
      <c r="E4" s="263"/>
      <c r="F4" s="277" t="str">
        <f>'入力シート'!E19</f>
        <v>高速横浜環状北西線（下谷本地区）地盤改良工事（その２）</v>
      </c>
      <c r="G4" s="277"/>
      <c r="H4" s="277"/>
      <c r="I4" s="277"/>
      <c r="J4" s="277"/>
    </row>
    <row r="5" spans="1:10" ht="14.25" customHeight="1">
      <c r="A5" s="13"/>
      <c r="B5" s="131" t="s">
        <v>171</v>
      </c>
      <c r="C5" s="263" t="s">
        <v>318</v>
      </c>
      <c r="D5" s="263"/>
      <c r="E5" s="263"/>
      <c r="F5" s="263"/>
      <c r="G5" s="263"/>
      <c r="H5" s="263"/>
      <c r="I5" s="263"/>
      <c r="J5" s="263"/>
    </row>
    <row r="6" spans="1:10" ht="14.25" customHeight="1">
      <c r="A6" s="13"/>
      <c r="B6" s="13"/>
      <c r="C6" s="263" t="s">
        <v>172</v>
      </c>
      <c r="D6" s="263"/>
      <c r="E6" s="263"/>
      <c r="F6" s="263"/>
      <c r="G6" s="263"/>
      <c r="H6" s="263"/>
      <c r="I6" s="263"/>
      <c r="J6" s="263"/>
    </row>
    <row r="7" spans="1:10" ht="14.25" customHeight="1">
      <c r="A7" s="13"/>
      <c r="B7" s="13"/>
      <c r="C7" s="263"/>
      <c r="D7" s="263"/>
      <c r="E7" s="263"/>
      <c r="F7" s="263"/>
      <c r="G7" s="263"/>
      <c r="H7" s="263"/>
      <c r="I7" s="263"/>
      <c r="J7" s="263"/>
    </row>
    <row r="8" spans="1:10" ht="14.25" customHeight="1">
      <c r="A8" s="13"/>
      <c r="B8" s="278">
        <f>IF(AND('実施要領書(表紙)'!B6="",'実施要領書(表紙)'!B7="",'実施要領書(表紙)'!B8=""),"","(3)　　　本工事は"&amp;'実施要領書(表紙)'!B6&amp;'実施要領書(表紙)'!B7&amp;'実施要領書(表紙)'!B8&amp;"を適用します。")</f>
      </c>
      <c r="C8" s="278"/>
      <c r="D8" s="278"/>
      <c r="E8" s="278"/>
      <c r="F8" s="278"/>
      <c r="G8" s="278"/>
      <c r="H8" s="278"/>
      <c r="I8" s="278"/>
      <c r="J8" s="278"/>
    </row>
    <row r="9" spans="1:5" ht="14.25" customHeight="1">
      <c r="A9" s="13"/>
      <c r="B9" s="13"/>
      <c r="C9" s="13"/>
      <c r="D9" s="13"/>
      <c r="E9" s="13"/>
    </row>
    <row r="10" spans="1:10" ht="14.25" customHeight="1">
      <c r="A10" s="263" t="s">
        <v>173</v>
      </c>
      <c r="B10" s="263"/>
      <c r="C10" s="263"/>
      <c r="D10" s="263"/>
      <c r="E10" s="263"/>
      <c r="F10" s="263"/>
      <c r="G10" s="263"/>
      <c r="H10" s="263"/>
      <c r="I10" s="263"/>
      <c r="J10" s="263"/>
    </row>
    <row r="11" spans="1:10" ht="14.25" customHeight="1">
      <c r="A11" s="18"/>
      <c r="B11" s="263" t="s">
        <v>174</v>
      </c>
      <c r="C11" s="263"/>
      <c r="D11" s="263"/>
      <c r="E11" s="263"/>
      <c r="F11" s="263"/>
      <c r="G11" s="263"/>
      <c r="H11" s="263"/>
      <c r="I11" s="263"/>
      <c r="J11" s="263"/>
    </row>
    <row r="12" spans="1:10" ht="14.25" customHeight="1">
      <c r="A12" s="18"/>
      <c r="B12" s="263"/>
      <c r="C12" s="263"/>
      <c r="D12" s="263"/>
      <c r="E12" s="263"/>
      <c r="F12" s="263"/>
      <c r="G12" s="263"/>
      <c r="H12" s="263"/>
      <c r="I12" s="263"/>
      <c r="J12" s="263"/>
    </row>
    <row r="13" spans="1:10" ht="14.25" customHeight="1">
      <c r="A13" s="13"/>
      <c r="B13" s="13"/>
      <c r="C13" s="13"/>
      <c r="D13" s="13"/>
      <c r="E13" s="13"/>
      <c r="F13" s="14"/>
      <c r="G13" s="14"/>
      <c r="H13" s="14"/>
      <c r="I13" s="14"/>
      <c r="J13" s="13"/>
    </row>
    <row r="14" spans="1:10" ht="14.25" customHeight="1">
      <c r="A14" s="279" t="s">
        <v>175</v>
      </c>
      <c r="B14" s="279"/>
      <c r="C14" s="279"/>
      <c r="D14" s="279"/>
      <c r="E14" s="279"/>
      <c r="F14" s="279"/>
      <c r="G14" s="279"/>
      <c r="H14" s="279"/>
      <c r="I14" s="279"/>
      <c r="J14" s="279"/>
    </row>
    <row r="15" spans="2:11" ht="14.25" customHeight="1">
      <c r="B15" s="279" t="s">
        <v>176</v>
      </c>
      <c r="C15" s="279"/>
      <c r="D15" s="279"/>
      <c r="E15" s="279"/>
      <c r="F15" s="279"/>
      <c r="G15" s="279"/>
      <c r="H15" s="279"/>
      <c r="I15" s="279"/>
      <c r="J15" s="279"/>
      <c r="K15" s="133"/>
    </row>
    <row r="16" spans="4:9" ht="14.25" customHeight="1">
      <c r="D16" s="280" t="s">
        <v>117</v>
      </c>
      <c r="E16" s="280"/>
      <c r="F16" s="280"/>
      <c r="G16" s="280"/>
      <c r="H16" s="134" t="s">
        <v>118</v>
      </c>
      <c r="I16" s="134" t="s">
        <v>177</v>
      </c>
    </row>
    <row r="17" spans="4:9" ht="14.25" customHeight="1">
      <c r="D17" s="272" t="s">
        <v>178</v>
      </c>
      <c r="E17" s="272"/>
      <c r="F17" s="272"/>
      <c r="G17" s="272"/>
      <c r="H17" s="19">
        <f>'入力シート'!E24</f>
        <v>42303</v>
      </c>
      <c r="I17" s="135" t="s">
        <v>179</v>
      </c>
    </row>
    <row r="18" spans="4:9" ht="14.25" customHeight="1">
      <c r="D18" s="272" t="s">
        <v>119</v>
      </c>
      <c r="E18" s="272"/>
      <c r="F18" s="272"/>
      <c r="G18" s="272"/>
      <c r="H18" s="19">
        <f>'入力シート'!E25</f>
        <v>42312</v>
      </c>
      <c r="I18" s="135"/>
    </row>
    <row r="19" spans="4:9" ht="14.25" customHeight="1">
      <c r="D19" s="272" t="s">
        <v>120</v>
      </c>
      <c r="E19" s="272"/>
      <c r="F19" s="272"/>
      <c r="G19" s="272"/>
      <c r="H19" s="20">
        <f>'入力シート'!E26</f>
        <v>42317</v>
      </c>
      <c r="I19" s="136"/>
    </row>
    <row r="20" spans="4:9" ht="14.25" customHeight="1">
      <c r="D20" s="272"/>
      <c r="E20" s="272"/>
      <c r="F20" s="272"/>
      <c r="G20" s="272"/>
      <c r="H20" s="21">
        <f>'入力シート'!E27</f>
        <v>42319</v>
      </c>
      <c r="I20" s="137"/>
    </row>
    <row r="21" spans="4:9" ht="14.25" customHeight="1">
      <c r="D21" s="272" t="s">
        <v>180</v>
      </c>
      <c r="E21" s="272"/>
      <c r="F21" s="272"/>
      <c r="G21" s="272"/>
      <c r="H21" s="22">
        <f>'入力シート'!E29</f>
        <v>42347</v>
      </c>
      <c r="I21" s="138" t="s">
        <v>181</v>
      </c>
    </row>
    <row r="22" ht="14.25" customHeight="1"/>
    <row r="23" spans="2:9" ht="14.25" customHeight="1">
      <c r="B23" s="1" t="s">
        <v>182</v>
      </c>
      <c r="D23" s="262" t="s">
        <v>183</v>
      </c>
      <c r="E23" s="273"/>
      <c r="F23" s="273"/>
      <c r="G23" s="273"/>
      <c r="H23" s="273"/>
      <c r="I23" s="273"/>
    </row>
    <row r="24" spans="4:9" ht="14.25" customHeight="1">
      <c r="D24" s="273"/>
      <c r="E24" s="273"/>
      <c r="F24" s="273"/>
      <c r="G24" s="273"/>
      <c r="H24" s="273"/>
      <c r="I24" s="273"/>
    </row>
    <row r="25" spans="4:9" ht="14.25" customHeight="1">
      <c r="D25" s="273"/>
      <c r="E25" s="273"/>
      <c r="F25" s="273"/>
      <c r="G25" s="273"/>
      <c r="H25" s="273"/>
      <c r="I25" s="273"/>
    </row>
    <row r="26" spans="4:9" ht="14.25" customHeight="1">
      <c r="D26" s="273"/>
      <c r="E26" s="273"/>
      <c r="F26" s="273"/>
      <c r="G26" s="273"/>
      <c r="H26" s="273"/>
      <c r="I26" s="273"/>
    </row>
    <row r="27" spans="4:9" ht="14.25" customHeight="1">
      <c r="D27" s="273"/>
      <c r="E27" s="273"/>
      <c r="F27" s="273"/>
      <c r="G27" s="273"/>
      <c r="H27" s="273"/>
      <c r="I27" s="273"/>
    </row>
    <row r="28" spans="4:9" ht="14.25" customHeight="1">
      <c r="D28" s="273"/>
      <c r="E28" s="273"/>
      <c r="F28" s="273"/>
      <c r="G28" s="273"/>
      <c r="H28" s="273"/>
      <c r="I28" s="273"/>
    </row>
    <row r="29" spans="2:9" ht="14.25" customHeight="1">
      <c r="B29" s="1" t="s">
        <v>184</v>
      </c>
      <c r="D29" s="262" t="s">
        <v>185</v>
      </c>
      <c r="E29" s="273"/>
      <c r="F29" s="273"/>
      <c r="G29" s="273"/>
      <c r="H29" s="273"/>
      <c r="I29" s="273"/>
    </row>
    <row r="30" spans="4:9" ht="14.25" customHeight="1">
      <c r="D30" s="273"/>
      <c r="E30" s="273"/>
      <c r="F30" s="273"/>
      <c r="G30" s="273"/>
      <c r="H30" s="273"/>
      <c r="I30" s="273"/>
    </row>
    <row r="31" spans="1:10" s="15" customFormat="1" ht="14.25" customHeight="1">
      <c r="A31" s="14"/>
      <c r="B31" s="14"/>
      <c r="C31" s="14"/>
      <c r="D31" s="14"/>
      <c r="E31" s="14"/>
      <c r="F31" s="14"/>
      <c r="G31" s="14"/>
      <c r="H31" s="14"/>
      <c r="I31" s="14"/>
      <c r="J31" s="14"/>
    </row>
    <row r="32" spans="1:10" ht="14.25" customHeight="1">
      <c r="A32" s="263" t="s">
        <v>186</v>
      </c>
      <c r="B32" s="263"/>
      <c r="C32" s="263"/>
      <c r="D32" s="263"/>
      <c r="E32" s="263"/>
      <c r="F32" s="263"/>
      <c r="G32" s="263"/>
      <c r="H32" s="263"/>
      <c r="I32" s="263"/>
      <c r="J32" s="263"/>
    </row>
    <row r="33" spans="1:10" ht="14.25" customHeight="1">
      <c r="A33" s="18"/>
      <c r="B33" s="263" t="s">
        <v>187</v>
      </c>
      <c r="C33" s="263"/>
      <c r="D33" s="263"/>
      <c r="E33" s="263"/>
      <c r="F33" s="263"/>
      <c r="G33" s="263"/>
      <c r="H33" s="263"/>
      <c r="I33" s="263"/>
      <c r="J33" s="263"/>
    </row>
    <row r="34" spans="1:10" ht="14.25" customHeight="1">
      <c r="A34" s="18"/>
      <c r="B34" s="132"/>
      <c r="C34" s="132"/>
      <c r="D34" s="132"/>
      <c r="E34" s="132"/>
      <c r="F34" s="132"/>
      <c r="G34" s="132"/>
      <c r="H34" s="132"/>
      <c r="I34" s="132"/>
      <c r="J34" s="132"/>
    </row>
    <row r="35" spans="4:10" s="17" customFormat="1" ht="14.25" customHeight="1">
      <c r="D35" s="274" t="s">
        <v>128</v>
      </c>
      <c r="E35" s="274"/>
      <c r="F35" s="274"/>
      <c r="G35" s="275" t="s">
        <v>127</v>
      </c>
      <c r="H35" s="275"/>
      <c r="I35" s="275"/>
      <c r="J35" s="16"/>
    </row>
    <row r="36" spans="1:10" ht="28.5" customHeight="1">
      <c r="A36" s="13"/>
      <c r="B36" s="13"/>
      <c r="C36" s="13"/>
      <c r="D36" s="269" t="s">
        <v>188</v>
      </c>
      <c r="E36" s="269"/>
      <c r="F36" s="269"/>
      <c r="G36" s="270" t="str">
        <f>IF('入力シート'!C32="適用",'入力シート'!E32,"今回工事ではこの項目を適用しません。")</f>
        <v>今回工事ではこの項目を適用しません。</v>
      </c>
      <c r="H36" s="270"/>
      <c r="I36" s="270"/>
      <c r="J36" s="16"/>
    </row>
    <row r="37" spans="1:10" ht="28.5" customHeight="1">
      <c r="A37" s="13"/>
      <c r="B37" s="13"/>
      <c r="C37" s="13"/>
      <c r="D37" s="269" t="s">
        <v>189</v>
      </c>
      <c r="E37" s="269"/>
      <c r="F37" s="269"/>
      <c r="G37" s="270" t="str">
        <f>IF('入力シート'!C33="適用",'入力シート'!E33,"今回工事ではこの項目を適用しません。")</f>
        <v>地盤改良に関する施工方法や改良体の品質や出来形に関すること</v>
      </c>
      <c r="H37" s="270"/>
      <c r="I37" s="270"/>
      <c r="J37" s="16"/>
    </row>
    <row r="38" spans="1:10" ht="28.5" customHeight="1">
      <c r="A38" s="13"/>
      <c r="B38" s="13"/>
      <c r="C38" s="13"/>
      <c r="D38" s="269" t="s">
        <v>190</v>
      </c>
      <c r="E38" s="269"/>
      <c r="F38" s="269"/>
      <c r="G38" s="270" t="str">
        <f>IF('入力シート'!C34="適用",'入力シート'!E34,"今回工事ではこの項目を適用しません。")</f>
        <v>今回工事ではこの項目を適用しません。</v>
      </c>
      <c r="H38" s="270"/>
      <c r="I38" s="270"/>
      <c r="J38" s="16"/>
    </row>
    <row r="39" spans="1:10" ht="28.5" customHeight="1">
      <c r="A39" s="13"/>
      <c r="B39" s="13"/>
      <c r="C39" s="13"/>
      <c r="D39" s="269" t="s">
        <v>191</v>
      </c>
      <c r="E39" s="269"/>
      <c r="F39" s="269"/>
      <c r="G39" s="270" t="str">
        <f>IF('入力シート'!C35="適用",'入力シート'!E35,"今回工事ではこの項目を適用しません。")</f>
        <v>施工を考慮したヤード計画や周辺環境に関すること</v>
      </c>
      <c r="H39" s="270"/>
      <c r="I39" s="270"/>
      <c r="J39" s="16"/>
    </row>
    <row r="40" spans="1:10" ht="28.5" customHeight="1">
      <c r="A40" s="13"/>
      <c r="B40" s="13"/>
      <c r="C40" s="13"/>
      <c r="D40" s="269" t="s">
        <v>192</v>
      </c>
      <c r="E40" s="269"/>
      <c r="F40" s="269"/>
      <c r="G40" s="270" t="str">
        <f>IF('入力シート'!C36="適用",'入力シート'!E36,"今回工事ではこの項目を適用しません。")</f>
        <v>今回工事ではこの項目を適用しません。</v>
      </c>
      <c r="H40" s="270"/>
      <c r="I40" s="270"/>
      <c r="J40" s="16"/>
    </row>
    <row r="41" spans="1:10" ht="28.5" customHeight="1">
      <c r="A41" s="13"/>
      <c r="B41" s="13"/>
      <c r="C41" s="13"/>
      <c r="D41" s="269" t="s">
        <v>193</v>
      </c>
      <c r="E41" s="269"/>
      <c r="F41" s="269"/>
      <c r="G41" s="270" t="str">
        <f>IF('入力シート'!C37="適用",'入力シート'!E37,"今回工事ではこの項目を適用しません。")</f>
        <v>今回工事ではこの項目を適用しません。</v>
      </c>
      <c r="H41" s="270"/>
      <c r="I41" s="270"/>
      <c r="J41" s="16"/>
    </row>
    <row r="42" spans="1:10" ht="28.5" customHeight="1">
      <c r="A42" s="13"/>
      <c r="B42" s="13"/>
      <c r="C42" s="13"/>
      <c r="D42" s="269" t="s">
        <v>194</v>
      </c>
      <c r="E42" s="269"/>
      <c r="F42" s="269"/>
      <c r="G42" s="270" t="str">
        <f>IF('入力シート'!C38="適用",'入力シート'!E38,"今回工事ではこの項目を適用しません。")</f>
        <v>地盤改良工事</v>
      </c>
      <c r="H42" s="270"/>
      <c r="I42" s="270"/>
      <c r="J42" s="16"/>
    </row>
    <row r="43" spans="1:10" ht="28.5" customHeight="1">
      <c r="A43" s="13"/>
      <c r="B43" s="13"/>
      <c r="C43" s="13"/>
      <c r="D43" s="269" t="s">
        <v>287</v>
      </c>
      <c r="E43" s="269"/>
      <c r="F43" s="269"/>
      <c r="G43" s="270" t="str">
        <f>IF('入力シート'!C39="適用",'入力シート'!E39,"今回工事ではこの項目を適用しません。")</f>
        <v>今回工事ではこの項目を適用しません。</v>
      </c>
      <c r="H43" s="270"/>
      <c r="I43" s="270"/>
      <c r="J43" s="16"/>
    </row>
    <row r="44" spans="1:10" ht="28.5" customHeight="1">
      <c r="A44" s="13"/>
      <c r="B44" s="13"/>
      <c r="C44" s="13"/>
      <c r="D44" s="269" t="s">
        <v>195</v>
      </c>
      <c r="E44" s="269"/>
      <c r="F44" s="269"/>
      <c r="G44" s="270" t="str">
        <f>IF('入力シート'!C40="適用",'入力シート'!E40,"今回工事ではこの項目を適用しません。")</f>
        <v>今回工事ではこの項目を適用しません。</v>
      </c>
      <c r="H44" s="270"/>
      <c r="I44" s="270"/>
      <c r="J44" s="16"/>
    </row>
    <row r="45" spans="1:10" ht="28.5" customHeight="1">
      <c r="A45" s="13"/>
      <c r="B45" s="13"/>
      <c r="C45" s="13"/>
      <c r="D45" s="269" t="s">
        <v>196</v>
      </c>
      <c r="E45" s="269"/>
      <c r="F45" s="269"/>
      <c r="G45" s="270" t="str">
        <f>IF('入力シート'!C41="適用",'入力シート'!E41,"今回工事ではこの項目を適用しません。")</f>
        <v>地盤改良工事</v>
      </c>
      <c r="H45" s="270"/>
      <c r="I45" s="270"/>
      <c r="J45" s="16"/>
    </row>
    <row r="46" spans="1:10" ht="28.5" customHeight="1">
      <c r="A46" s="13"/>
      <c r="B46" s="13"/>
      <c r="C46" s="13"/>
      <c r="D46" s="269" t="s">
        <v>197</v>
      </c>
      <c r="E46" s="269"/>
      <c r="F46" s="269"/>
      <c r="G46" s="270" t="str">
        <f>IF('入力シート'!C43="適用",'入力シート'!E43,"今回工事ではこの項目を適用しません。")</f>
        <v>今回工事ではこの項目を適用しません。</v>
      </c>
      <c r="H46" s="270"/>
      <c r="I46" s="270"/>
      <c r="J46" s="16"/>
    </row>
    <row r="47" spans="1:10" ht="28.5" customHeight="1">
      <c r="A47" s="13"/>
      <c r="B47" s="13"/>
      <c r="C47" s="13"/>
      <c r="D47" s="271" t="s">
        <v>307</v>
      </c>
      <c r="E47" s="271"/>
      <c r="F47" s="271"/>
      <c r="G47" s="270" t="str">
        <f>IF('入力シート'!C46="適用",'入力シート'!E46,"今回工事ではこの項目を適用しません。")</f>
        <v>今回工事ではこの項目を適用しません。</v>
      </c>
      <c r="H47" s="270"/>
      <c r="I47" s="270"/>
      <c r="J47" s="16"/>
    </row>
    <row r="48" spans="1:10" ht="15" customHeight="1">
      <c r="A48" s="13"/>
      <c r="B48" s="13"/>
      <c r="C48" s="13"/>
      <c r="D48" s="139" t="s">
        <v>198</v>
      </c>
      <c r="E48" s="266" t="s">
        <v>199</v>
      </c>
      <c r="F48" s="266"/>
      <c r="G48" s="266"/>
      <c r="H48" s="266"/>
      <c r="I48" s="266"/>
      <c r="J48" s="16"/>
    </row>
    <row r="49" spans="1:10" ht="15" customHeight="1">
      <c r="A49" s="13"/>
      <c r="B49" s="13"/>
      <c r="C49" s="13"/>
      <c r="D49" s="139"/>
      <c r="E49" s="267"/>
      <c r="F49" s="267"/>
      <c r="G49" s="267"/>
      <c r="H49" s="267"/>
      <c r="I49" s="267"/>
      <c r="J49" s="16"/>
    </row>
    <row r="50" spans="1:10" ht="15" customHeight="1">
      <c r="A50" s="13"/>
      <c r="B50" s="13"/>
      <c r="C50" s="13"/>
      <c r="E50" s="267"/>
      <c r="F50" s="267"/>
      <c r="G50" s="267"/>
      <c r="H50" s="267"/>
      <c r="I50" s="267"/>
      <c r="J50" s="16"/>
    </row>
    <row r="51" spans="1:10" ht="15" customHeight="1">
      <c r="A51" s="13"/>
      <c r="B51" s="13"/>
      <c r="C51" s="13"/>
      <c r="D51" s="139" t="s">
        <v>200</v>
      </c>
      <c r="E51" s="268" t="s">
        <v>201</v>
      </c>
      <c r="F51" s="268"/>
      <c r="G51" s="268"/>
      <c r="H51" s="268"/>
      <c r="I51" s="268"/>
      <c r="J51" s="16"/>
    </row>
    <row r="52" spans="1:10" ht="15" customHeight="1">
      <c r="A52" s="13"/>
      <c r="B52" s="13"/>
      <c r="C52" s="13"/>
      <c r="D52" s="139"/>
      <c r="E52" s="268"/>
      <c r="F52" s="268"/>
      <c r="G52" s="268"/>
      <c r="H52" s="268"/>
      <c r="I52" s="268"/>
      <c r="J52" s="16"/>
    </row>
    <row r="53" spans="1:10" ht="14.25" customHeight="1">
      <c r="A53" s="12"/>
      <c r="B53" s="12"/>
      <c r="C53" s="12"/>
      <c r="D53" s="12"/>
      <c r="E53" s="12"/>
      <c r="F53" s="140"/>
      <c r="G53" s="140"/>
      <c r="H53" s="140"/>
      <c r="I53" s="140"/>
      <c r="J53" s="12"/>
    </row>
    <row r="54" spans="1:10" ht="14.25" customHeight="1">
      <c r="A54" s="263" t="s">
        <v>202</v>
      </c>
      <c r="B54" s="263"/>
      <c r="C54" s="263"/>
      <c r="D54" s="263"/>
      <c r="E54" s="263"/>
      <c r="F54" s="263"/>
      <c r="G54" s="263"/>
      <c r="H54" s="263"/>
      <c r="I54" s="263"/>
      <c r="J54" s="263"/>
    </row>
    <row r="55" spans="1:10" ht="14.25" customHeight="1">
      <c r="A55" s="13"/>
      <c r="B55" s="141" t="s">
        <v>203</v>
      </c>
      <c r="C55" s="263" t="s">
        <v>204</v>
      </c>
      <c r="D55" s="263"/>
      <c r="E55" s="263"/>
      <c r="F55" s="263"/>
      <c r="G55" s="263"/>
      <c r="H55" s="263"/>
      <c r="I55" s="263"/>
      <c r="J55" s="263"/>
    </row>
    <row r="56" spans="1:10" ht="14.25" customHeight="1">
      <c r="A56" s="13"/>
      <c r="B56" s="2"/>
      <c r="C56" s="13"/>
      <c r="D56" s="263" t="s">
        <v>205</v>
      </c>
      <c r="E56" s="263"/>
      <c r="F56" s="263"/>
      <c r="G56" s="263"/>
      <c r="H56" s="263"/>
      <c r="I56" s="263"/>
      <c r="J56" s="263"/>
    </row>
    <row r="57" spans="1:10" ht="14.25" customHeight="1">
      <c r="A57" s="13"/>
      <c r="B57" s="141" t="s">
        <v>171</v>
      </c>
      <c r="C57" s="263" t="s">
        <v>319</v>
      </c>
      <c r="D57" s="263"/>
      <c r="E57" s="263"/>
      <c r="F57" s="263"/>
      <c r="G57" s="263"/>
      <c r="H57" s="263"/>
      <c r="I57" s="263"/>
      <c r="J57" s="263"/>
    </row>
    <row r="58" spans="1:10" ht="14.25" customHeight="1">
      <c r="A58" s="132"/>
      <c r="B58" s="2"/>
      <c r="C58" s="263" t="s">
        <v>206</v>
      </c>
      <c r="D58" s="263"/>
      <c r="E58" s="263"/>
      <c r="F58" s="263"/>
      <c r="G58" s="263"/>
      <c r="H58" s="263"/>
      <c r="I58" s="263"/>
      <c r="J58" s="263"/>
    </row>
    <row r="59" spans="1:10" ht="14.25" customHeight="1">
      <c r="A59" s="132"/>
      <c r="B59" s="2"/>
      <c r="C59" s="263"/>
      <c r="D59" s="263"/>
      <c r="E59" s="263"/>
      <c r="F59" s="263"/>
      <c r="G59" s="263"/>
      <c r="H59" s="263"/>
      <c r="I59" s="263"/>
      <c r="J59" s="263"/>
    </row>
    <row r="60" spans="1:10" ht="14.25" customHeight="1">
      <c r="A60" s="132"/>
      <c r="B60" s="2"/>
      <c r="C60" s="263"/>
      <c r="D60" s="263"/>
      <c r="E60" s="263"/>
      <c r="F60" s="263"/>
      <c r="G60" s="263"/>
      <c r="H60" s="263"/>
      <c r="I60" s="263"/>
      <c r="J60" s="263"/>
    </row>
    <row r="61" spans="1:10" ht="14.25" customHeight="1">
      <c r="A61" s="132"/>
      <c r="B61" s="142"/>
      <c r="C61" s="263"/>
      <c r="D61" s="263"/>
      <c r="E61" s="263"/>
      <c r="F61" s="263"/>
      <c r="G61" s="263"/>
      <c r="H61" s="263"/>
      <c r="I61" s="263"/>
      <c r="J61" s="263"/>
    </row>
    <row r="62" spans="1:10" ht="14.25" customHeight="1">
      <c r="A62" s="13"/>
      <c r="B62" s="141" t="s">
        <v>207</v>
      </c>
      <c r="C62" s="263" t="s">
        <v>320</v>
      </c>
      <c r="D62" s="263"/>
      <c r="E62" s="263"/>
      <c r="F62" s="263"/>
      <c r="G62" s="263"/>
      <c r="H62" s="263"/>
      <c r="I62" s="263"/>
      <c r="J62" s="263"/>
    </row>
    <row r="63" spans="1:10" ht="14.25" customHeight="1">
      <c r="A63" s="132"/>
      <c r="B63" s="2"/>
      <c r="C63" s="132"/>
      <c r="D63" s="263" t="s">
        <v>208</v>
      </c>
      <c r="E63" s="263"/>
      <c r="F63" s="263"/>
      <c r="G63" s="263"/>
      <c r="H63" s="263"/>
      <c r="I63" s="263"/>
      <c r="J63" s="263"/>
    </row>
    <row r="64" spans="1:10" ht="14.25" customHeight="1">
      <c r="A64" s="132"/>
      <c r="B64" s="2"/>
      <c r="C64" s="132"/>
      <c r="D64" s="263"/>
      <c r="E64" s="263"/>
      <c r="F64" s="263"/>
      <c r="G64" s="263"/>
      <c r="H64" s="263"/>
      <c r="I64" s="263"/>
      <c r="J64" s="263"/>
    </row>
    <row r="65" spans="1:10" ht="14.25" customHeight="1">
      <c r="A65" s="132"/>
      <c r="B65" s="142"/>
      <c r="C65" s="132"/>
      <c r="D65" s="263"/>
      <c r="E65" s="263"/>
      <c r="F65" s="263"/>
      <c r="G65" s="263"/>
      <c r="H65" s="263"/>
      <c r="I65" s="263"/>
      <c r="J65" s="263"/>
    </row>
    <row r="66" spans="1:10" ht="14.25" customHeight="1">
      <c r="A66" s="13"/>
      <c r="B66" s="141" t="s">
        <v>209</v>
      </c>
      <c r="C66" s="263" t="s">
        <v>321</v>
      </c>
      <c r="D66" s="263"/>
      <c r="E66" s="263"/>
      <c r="F66" s="263"/>
      <c r="G66" s="263"/>
      <c r="H66" s="263"/>
      <c r="I66" s="263"/>
      <c r="J66" s="263"/>
    </row>
    <row r="67" spans="1:10" ht="14.25" customHeight="1">
      <c r="A67" s="132"/>
      <c r="B67" s="2"/>
      <c r="C67" s="262" t="s">
        <v>210</v>
      </c>
      <c r="D67" s="262"/>
      <c r="E67" s="262"/>
      <c r="F67" s="262"/>
      <c r="G67" s="262"/>
      <c r="H67" s="262"/>
      <c r="I67" s="262"/>
      <c r="J67" s="262"/>
    </row>
    <row r="68" spans="1:10" ht="14.25" customHeight="1">
      <c r="A68" s="132"/>
      <c r="B68" s="142"/>
      <c r="C68" s="262"/>
      <c r="D68" s="262"/>
      <c r="E68" s="262"/>
      <c r="F68" s="262"/>
      <c r="G68" s="262"/>
      <c r="H68" s="262"/>
      <c r="I68" s="262"/>
      <c r="J68" s="262"/>
    </row>
    <row r="69" spans="1:10" ht="14.25" customHeight="1">
      <c r="A69" s="132"/>
      <c r="B69" s="142"/>
      <c r="C69" s="262"/>
      <c r="D69" s="262"/>
      <c r="E69" s="262"/>
      <c r="F69" s="262"/>
      <c r="G69" s="262"/>
      <c r="H69" s="262"/>
      <c r="I69" s="262"/>
      <c r="J69" s="262"/>
    </row>
    <row r="70" spans="1:10" ht="14.25" customHeight="1">
      <c r="A70" s="132"/>
      <c r="B70" s="142"/>
      <c r="C70" s="262"/>
      <c r="D70" s="262"/>
      <c r="E70" s="262"/>
      <c r="F70" s="262"/>
      <c r="G70" s="262"/>
      <c r="H70" s="262"/>
      <c r="I70" s="262"/>
      <c r="J70" s="262"/>
    </row>
    <row r="71" spans="1:10" ht="14.25" customHeight="1">
      <c r="A71" s="13"/>
      <c r="B71" s="141" t="s">
        <v>211</v>
      </c>
      <c r="C71" s="263" t="s">
        <v>322</v>
      </c>
      <c r="D71" s="263"/>
      <c r="E71" s="263"/>
      <c r="F71" s="263"/>
      <c r="G71" s="263"/>
      <c r="H71" s="263"/>
      <c r="I71" s="263"/>
      <c r="J71" s="263"/>
    </row>
    <row r="72" spans="1:10" ht="14.25" customHeight="1">
      <c r="A72" s="132"/>
      <c r="B72" s="2"/>
      <c r="C72" s="132" t="s">
        <v>212</v>
      </c>
      <c r="D72" s="263" t="s">
        <v>213</v>
      </c>
      <c r="E72" s="263"/>
      <c r="F72" s="263"/>
      <c r="G72" s="263"/>
      <c r="H72" s="263"/>
      <c r="I72" s="263"/>
      <c r="J72" s="263"/>
    </row>
    <row r="73" spans="1:10" ht="14.25" customHeight="1">
      <c r="A73" s="132"/>
      <c r="C73" s="132" t="s">
        <v>214</v>
      </c>
      <c r="D73" s="263" t="s">
        <v>314</v>
      </c>
      <c r="E73" s="263"/>
      <c r="F73" s="263"/>
      <c r="G73" s="263"/>
      <c r="H73" s="263"/>
      <c r="I73" s="263"/>
      <c r="J73" s="263"/>
    </row>
    <row r="74" spans="1:10" ht="14.25" customHeight="1">
      <c r="A74" s="13"/>
      <c r="B74" s="13"/>
      <c r="C74" s="13"/>
      <c r="D74" s="13"/>
      <c r="E74" s="13"/>
      <c r="F74" s="14"/>
      <c r="G74" s="14"/>
      <c r="H74" s="14"/>
      <c r="I74" s="14"/>
      <c r="J74" s="13"/>
    </row>
    <row r="75" spans="1:10" ht="14.25" customHeight="1">
      <c r="A75" s="263" t="s">
        <v>215</v>
      </c>
      <c r="B75" s="263"/>
      <c r="C75" s="263"/>
      <c r="D75" s="263"/>
      <c r="E75" s="263"/>
      <c r="F75" s="263"/>
      <c r="G75" s="263"/>
      <c r="H75" s="263"/>
      <c r="I75" s="263"/>
      <c r="J75" s="263"/>
    </row>
    <row r="76" spans="1:10" ht="14.25" customHeight="1">
      <c r="A76" s="132"/>
      <c r="B76" s="263" t="s">
        <v>216</v>
      </c>
      <c r="C76" s="263"/>
      <c r="D76" s="263"/>
      <c r="E76" s="263"/>
      <c r="F76" s="263"/>
      <c r="G76" s="263"/>
      <c r="H76" s="263"/>
      <c r="I76" s="263"/>
      <c r="J76" s="263"/>
    </row>
    <row r="77" spans="1:10" ht="14.25" customHeight="1">
      <c r="A77" s="13"/>
      <c r="B77" s="13"/>
      <c r="C77" s="13"/>
      <c r="D77" s="13"/>
      <c r="E77" s="13"/>
      <c r="F77" s="14"/>
      <c r="G77" s="14"/>
      <c r="H77" s="14"/>
      <c r="I77" s="14"/>
      <c r="J77" s="13"/>
    </row>
    <row r="78" spans="1:10" ht="14.25" customHeight="1">
      <c r="A78" s="263" t="s">
        <v>217</v>
      </c>
      <c r="B78" s="263"/>
      <c r="C78" s="263"/>
      <c r="D78" s="263"/>
      <c r="E78" s="263"/>
      <c r="F78" s="263"/>
      <c r="G78" s="263"/>
      <c r="H78" s="263"/>
      <c r="I78" s="263"/>
      <c r="J78" s="263"/>
    </row>
    <row r="79" spans="1:10" ht="14.25" customHeight="1">
      <c r="A79" s="18"/>
      <c r="B79" s="263" t="s">
        <v>218</v>
      </c>
      <c r="C79" s="263"/>
      <c r="D79" s="263"/>
      <c r="E79" s="263"/>
      <c r="F79" s="263"/>
      <c r="G79" s="263"/>
      <c r="H79" s="263"/>
      <c r="I79" s="263"/>
      <c r="J79" s="263"/>
    </row>
    <row r="80" spans="1:10" ht="14.25" customHeight="1">
      <c r="A80" s="18"/>
      <c r="B80" s="263"/>
      <c r="C80" s="263"/>
      <c r="D80" s="263"/>
      <c r="E80" s="263"/>
      <c r="F80" s="263"/>
      <c r="G80" s="263"/>
      <c r="H80" s="263"/>
      <c r="I80" s="263"/>
      <c r="J80" s="263"/>
    </row>
    <row r="81" spans="1:10" ht="14.25" customHeight="1">
      <c r="A81" s="18"/>
      <c r="B81" s="141" t="s">
        <v>203</v>
      </c>
      <c r="C81" s="263" t="s">
        <v>219</v>
      </c>
      <c r="D81" s="263"/>
      <c r="E81" s="263"/>
      <c r="F81" s="263"/>
      <c r="G81" s="263"/>
      <c r="H81" s="263"/>
      <c r="I81" s="263"/>
      <c r="J81" s="263"/>
    </row>
    <row r="82" spans="1:10" ht="14.25" customHeight="1">
      <c r="A82" s="18"/>
      <c r="B82" s="141" t="s">
        <v>171</v>
      </c>
      <c r="C82" s="263" t="s">
        <v>220</v>
      </c>
      <c r="D82" s="263"/>
      <c r="E82" s="263"/>
      <c r="F82" s="263"/>
      <c r="G82" s="263"/>
      <c r="H82" s="263"/>
      <c r="I82" s="263"/>
      <c r="J82" s="263"/>
    </row>
    <row r="83" spans="1:10" ht="14.25" customHeight="1">
      <c r="A83" s="18"/>
      <c r="B83" s="141" t="s">
        <v>207</v>
      </c>
      <c r="C83" s="263" t="s">
        <v>221</v>
      </c>
      <c r="D83" s="263"/>
      <c r="E83" s="263"/>
      <c r="F83" s="263"/>
      <c r="G83" s="263"/>
      <c r="H83" s="263"/>
      <c r="I83" s="263"/>
      <c r="J83" s="263"/>
    </row>
    <row r="84" spans="1:10" ht="14.25" customHeight="1">
      <c r="A84" s="18"/>
      <c r="B84" s="141" t="s">
        <v>209</v>
      </c>
      <c r="C84" s="263" t="s">
        <v>222</v>
      </c>
      <c r="D84" s="263"/>
      <c r="E84" s="263"/>
      <c r="F84" s="263"/>
      <c r="G84" s="263"/>
      <c r="H84" s="263"/>
      <c r="I84" s="263"/>
      <c r="J84" s="263"/>
    </row>
    <row r="85" spans="1:10" ht="14.25" customHeight="1">
      <c r="A85" s="18"/>
      <c r="B85" s="141" t="s">
        <v>211</v>
      </c>
      <c r="C85" s="263" t="s">
        <v>223</v>
      </c>
      <c r="D85" s="263"/>
      <c r="E85" s="263"/>
      <c r="F85" s="263"/>
      <c r="G85" s="263"/>
      <c r="H85" s="263"/>
      <c r="I85" s="263"/>
      <c r="J85" s="263"/>
    </row>
    <row r="86" spans="1:10" ht="14.25" customHeight="1">
      <c r="A86" s="18"/>
      <c r="B86" s="141" t="s">
        <v>224</v>
      </c>
      <c r="C86" s="263" t="s">
        <v>225</v>
      </c>
      <c r="D86" s="263"/>
      <c r="E86" s="263"/>
      <c r="F86" s="263"/>
      <c r="G86" s="263"/>
      <c r="H86" s="263"/>
      <c r="I86" s="263"/>
      <c r="J86" s="263"/>
    </row>
    <row r="87" spans="1:10" ht="14.25" customHeight="1">
      <c r="A87" s="18"/>
      <c r="B87" s="141" t="s">
        <v>316</v>
      </c>
      <c r="C87" s="263" t="s">
        <v>329</v>
      </c>
      <c r="D87" s="263"/>
      <c r="E87" s="263"/>
      <c r="F87" s="263"/>
      <c r="G87" s="263"/>
      <c r="H87" s="263"/>
      <c r="I87" s="263"/>
      <c r="J87" s="263"/>
    </row>
    <row r="88" spans="1:10" ht="14.25" customHeight="1">
      <c r="A88" s="18"/>
      <c r="B88" s="18"/>
      <c r="C88" s="18"/>
      <c r="D88" s="18"/>
      <c r="E88" s="18"/>
      <c r="F88" s="129"/>
      <c r="G88" s="129"/>
      <c r="H88" s="129"/>
      <c r="I88" s="129"/>
      <c r="J88" s="18"/>
    </row>
    <row r="89" spans="1:10" ht="14.25" customHeight="1">
      <c r="A89" s="263" t="s">
        <v>226</v>
      </c>
      <c r="B89" s="263"/>
      <c r="C89" s="263"/>
      <c r="D89" s="263"/>
      <c r="E89" s="263"/>
      <c r="F89" s="263"/>
      <c r="G89" s="263"/>
      <c r="H89" s="263"/>
      <c r="I89" s="263"/>
      <c r="J89" s="263"/>
    </row>
    <row r="90" spans="1:10" ht="14.25" customHeight="1">
      <c r="A90" s="132"/>
      <c r="B90" s="141" t="s">
        <v>203</v>
      </c>
      <c r="C90" s="263" t="s">
        <v>323</v>
      </c>
      <c r="D90" s="263"/>
      <c r="E90" s="263"/>
      <c r="F90" s="263"/>
      <c r="G90" s="263"/>
      <c r="H90" s="263"/>
      <c r="I90" s="263"/>
      <c r="J90" s="263"/>
    </row>
    <row r="91" spans="3:10" ht="14.25" customHeight="1">
      <c r="C91" s="142" t="s">
        <v>212</v>
      </c>
      <c r="D91" s="262" t="s">
        <v>227</v>
      </c>
      <c r="E91" s="262"/>
      <c r="F91" s="262"/>
      <c r="G91" s="262"/>
      <c r="H91" s="262"/>
      <c r="I91" s="262"/>
      <c r="J91" s="262"/>
    </row>
    <row r="92" spans="3:10" ht="14.25" customHeight="1">
      <c r="C92" s="18"/>
      <c r="D92" s="262"/>
      <c r="E92" s="262"/>
      <c r="F92" s="262"/>
      <c r="G92" s="262"/>
      <c r="H92" s="262"/>
      <c r="I92" s="262"/>
      <c r="J92" s="262"/>
    </row>
    <row r="93" spans="3:10" ht="14.25" customHeight="1">
      <c r="C93" s="142" t="s">
        <v>214</v>
      </c>
      <c r="D93" s="263" t="s">
        <v>228</v>
      </c>
      <c r="E93" s="263"/>
      <c r="F93" s="263"/>
      <c r="G93" s="263"/>
      <c r="H93" s="263"/>
      <c r="I93" s="263"/>
      <c r="J93" s="263"/>
    </row>
    <row r="94" spans="3:10" ht="14.25" customHeight="1">
      <c r="C94" s="142" t="s">
        <v>229</v>
      </c>
      <c r="D94" s="263" t="s">
        <v>230</v>
      </c>
      <c r="E94" s="263"/>
      <c r="F94" s="263"/>
      <c r="G94" s="263"/>
      <c r="H94" s="263"/>
      <c r="I94" s="263"/>
      <c r="J94" s="263"/>
    </row>
    <row r="95" spans="3:10" ht="14.25" customHeight="1">
      <c r="C95" s="142"/>
      <c r="D95" s="263"/>
      <c r="E95" s="263"/>
      <c r="F95" s="263"/>
      <c r="G95" s="263"/>
      <c r="H95" s="263"/>
      <c r="I95" s="263"/>
      <c r="J95" s="263"/>
    </row>
    <row r="96" spans="3:10" ht="14.25" customHeight="1">
      <c r="C96" s="142" t="s">
        <v>231</v>
      </c>
      <c r="D96" s="263" t="s">
        <v>232</v>
      </c>
      <c r="E96" s="263"/>
      <c r="F96" s="263"/>
      <c r="G96" s="263"/>
      <c r="H96" s="263"/>
      <c r="I96" s="263"/>
      <c r="J96" s="263"/>
    </row>
    <row r="97" spans="3:10" ht="14.25" customHeight="1">
      <c r="C97" s="142"/>
      <c r="D97" s="263"/>
      <c r="E97" s="263"/>
      <c r="F97" s="263"/>
      <c r="G97" s="263"/>
      <c r="H97" s="263"/>
      <c r="I97" s="263"/>
      <c r="J97" s="263"/>
    </row>
    <row r="98" spans="3:10" ht="14.25" customHeight="1">
      <c r="C98" s="142"/>
      <c r="D98" s="263" t="s">
        <v>233</v>
      </c>
      <c r="E98" s="263"/>
      <c r="F98" s="263"/>
      <c r="G98" s="263"/>
      <c r="H98" s="263"/>
      <c r="I98" s="263"/>
      <c r="J98" s="263"/>
    </row>
    <row r="99" spans="3:10" ht="14.25" customHeight="1">
      <c r="C99" s="142" t="s">
        <v>234</v>
      </c>
      <c r="D99" s="262" t="s">
        <v>235</v>
      </c>
      <c r="E99" s="262"/>
      <c r="F99" s="262"/>
      <c r="G99" s="262"/>
      <c r="H99" s="262"/>
      <c r="I99" s="262"/>
      <c r="J99" s="262"/>
    </row>
    <row r="100" spans="3:10" ht="14.25" customHeight="1">
      <c r="C100" s="142"/>
      <c r="D100" s="262"/>
      <c r="E100" s="262"/>
      <c r="F100" s="262"/>
      <c r="G100" s="262"/>
      <c r="H100" s="262"/>
      <c r="I100" s="262"/>
      <c r="J100" s="262"/>
    </row>
    <row r="101" spans="3:10" ht="14.25" customHeight="1">
      <c r="C101" s="142" t="s">
        <v>236</v>
      </c>
      <c r="D101" s="263" t="s">
        <v>237</v>
      </c>
      <c r="E101" s="263"/>
      <c r="F101" s="263"/>
      <c r="G101" s="263"/>
      <c r="H101" s="263"/>
      <c r="I101" s="263"/>
      <c r="J101" s="263"/>
    </row>
    <row r="102" spans="3:10" ht="14.25" customHeight="1">
      <c r="C102" s="142" t="s">
        <v>238</v>
      </c>
      <c r="D102" s="263" t="s">
        <v>239</v>
      </c>
      <c r="E102" s="263"/>
      <c r="F102" s="263"/>
      <c r="G102" s="263"/>
      <c r="H102" s="263"/>
      <c r="I102" s="263"/>
      <c r="J102" s="263"/>
    </row>
    <row r="103" spans="4:10" ht="14.25" customHeight="1">
      <c r="D103" s="263"/>
      <c r="E103" s="263"/>
      <c r="F103" s="263"/>
      <c r="G103" s="263"/>
      <c r="H103" s="263"/>
      <c r="I103" s="263"/>
      <c r="J103" s="263"/>
    </row>
    <row r="104" spans="3:10" ht="14.25" customHeight="1">
      <c r="C104" s="142" t="s">
        <v>240</v>
      </c>
      <c r="D104" s="263" t="s">
        <v>241</v>
      </c>
      <c r="E104" s="263"/>
      <c r="F104" s="263"/>
      <c r="G104" s="263"/>
      <c r="H104" s="263"/>
      <c r="I104" s="263"/>
      <c r="J104" s="263"/>
    </row>
    <row r="105" spans="3:10" ht="14.25" customHeight="1">
      <c r="C105" s="142"/>
      <c r="D105" s="263"/>
      <c r="E105" s="263"/>
      <c r="F105" s="263"/>
      <c r="G105" s="263"/>
      <c r="H105" s="263"/>
      <c r="I105" s="263"/>
      <c r="J105" s="263"/>
    </row>
    <row r="106" spans="3:10" ht="14.25" customHeight="1">
      <c r="C106" s="142" t="s">
        <v>242</v>
      </c>
      <c r="D106" s="263" t="s">
        <v>243</v>
      </c>
      <c r="E106" s="263"/>
      <c r="F106" s="263"/>
      <c r="G106" s="263"/>
      <c r="H106" s="263"/>
      <c r="I106" s="263"/>
      <c r="J106" s="263"/>
    </row>
    <row r="107" spans="3:10" ht="14.25" customHeight="1">
      <c r="C107" s="214" t="s">
        <v>358</v>
      </c>
      <c r="D107" s="265" t="s">
        <v>373</v>
      </c>
      <c r="E107" s="265"/>
      <c r="F107" s="265"/>
      <c r="G107" s="265"/>
      <c r="H107" s="265"/>
      <c r="I107" s="265"/>
      <c r="J107" s="265"/>
    </row>
    <row r="108" spans="3:10" ht="14.25" customHeight="1">
      <c r="C108" s="214"/>
      <c r="D108" s="265"/>
      <c r="E108" s="265"/>
      <c r="F108" s="265"/>
      <c r="G108" s="265"/>
      <c r="H108" s="265"/>
      <c r="I108" s="265"/>
      <c r="J108" s="265"/>
    </row>
    <row r="109" spans="3:10" ht="14.25" customHeight="1">
      <c r="C109" s="214"/>
      <c r="D109" s="265"/>
      <c r="E109" s="265"/>
      <c r="F109" s="265"/>
      <c r="G109" s="265"/>
      <c r="H109" s="265"/>
      <c r="I109" s="265"/>
      <c r="J109" s="265"/>
    </row>
    <row r="110" spans="3:10" ht="14.25" customHeight="1">
      <c r="C110" s="214"/>
      <c r="D110" s="265"/>
      <c r="E110" s="265"/>
      <c r="F110" s="265"/>
      <c r="G110" s="265"/>
      <c r="H110" s="265"/>
      <c r="I110" s="265"/>
      <c r="J110" s="265"/>
    </row>
    <row r="111" spans="1:10" ht="14.25" customHeight="1">
      <c r="A111" s="132"/>
      <c r="B111" s="141" t="s">
        <v>244</v>
      </c>
      <c r="C111" s="263" t="s">
        <v>324</v>
      </c>
      <c r="D111" s="263"/>
      <c r="E111" s="263"/>
      <c r="F111" s="263"/>
      <c r="G111" s="263"/>
      <c r="H111" s="263"/>
      <c r="I111" s="263"/>
      <c r="J111" s="263"/>
    </row>
    <row r="112" spans="1:10" ht="14.25" customHeight="1">
      <c r="A112" s="142"/>
      <c r="B112" s="142"/>
      <c r="C112" s="263" t="s">
        <v>245</v>
      </c>
      <c r="D112" s="263"/>
      <c r="E112" s="263"/>
      <c r="F112" s="263"/>
      <c r="G112" s="263"/>
      <c r="H112" s="263"/>
      <c r="I112" s="263"/>
      <c r="J112" s="263"/>
    </row>
    <row r="113" spans="1:10" ht="14.25" customHeight="1">
      <c r="A113" s="142"/>
      <c r="B113" s="142"/>
      <c r="C113" s="263" t="s">
        <v>246</v>
      </c>
      <c r="D113" s="263"/>
      <c r="E113" s="263"/>
      <c r="F113" s="263"/>
      <c r="G113" s="263"/>
      <c r="H113" s="263"/>
      <c r="I113" s="263"/>
      <c r="J113" s="263"/>
    </row>
    <row r="114" spans="1:10" ht="14.25" customHeight="1">
      <c r="A114" s="142"/>
      <c r="B114" s="142"/>
      <c r="C114" s="263" t="s">
        <v>247</v>
      </c>
      <c r="D114" s="263"/>
      <c r="E114" s="263"/>
      <c r="F114" s="263"/>
      <c r="G114" s="263"/>
      <c r="H114" s="263"/>
      <c r="I114" s="263"/>
      <c r="J114" s="263"/>
    </row>
    <row r="115" spans="3:10" ht="14.25" customHeight="1">
      <c r="C115" s="142" t="s">
        <v>212</v>
      </c>
      <c r="D115" s="263" t="s">
        <v>248</v>
      </c>
      <c r="E115" s="263"/>
      <c r="F115" s="263"/>
      <c r="G115" s="263"/>
      <c r="H115" s="263"/>
      <c r="I115" s="263"/>
      <c r="J115" s="263"/>
    </row>
    <row r="116" spans="3:10" ht="14.25" customHeight="1">
      <c r="C116" s="142" t="s">
        <v>214</v>
      </c>
      <c r="D116" s="263" t="s">
        <v>249</v>
      </c>
      <c r="E116" s="263"/>
      <c r="F116" s="263"/>
      <c r="G116" s="263"/>
      <c r="H116" s="263"/>
      <c r="I116" s="263"/>
      <c r="J116" s="263"/>
    </row>
    <row r="117" spans="3:10" ht="14.25" customHeight="1">
      <c r="C117" s="142" t="s">
        <v>229</v>
      </c>
      <c r="D117" s="263" t="s">
        <v>250</v>
      </c>
      <c r="E117" s="263"/>
      <c r="F117" s="263"/>
      <c r="G117" s="263"/>
      <c r="H117" s="263"/>
      <c r="I117" s="263"/>
      <c r="J117" s="263"/>
    </row>
    <row r="118" spans="1:10" ht="14.25" customHeight="1">
      <c r="A118" s="142"/>
      <c r="B118" s="142"/>
      <c r="C118" s="142"/>
      <c r="D118" s="132"/>
      <c r="E118" s="132"/>
      <c r="F118" s="143"/>
      <c r="G118" s="143"/>
      <c r="H118" s="143"/>
      <c r="I118" s="143"/>
      <c r="J118" s="132"/>
    </row>
    <row r="119" spans="1:10" ht="14.25" customHeight="1">
      <c r="A119" s="263" t="s">
        <v>251</v>
      </c>
      <c r="B119" s="263"/>
      <c r="C119" s="263"/>
      <c r="D119" s="263"/>
      <c r="E119" s="263"/>
      <c r="F119" s="263"/>
      <c r="G119" s="263"/>
      <c r="H119" s="263"/>
      <c r="I119" s="263"/>
      <c r="J119" s="263"/>
    </row>
    <row r="120" spans="2:10" ht="14.25" customHeight="1">
      <c r="B120" s="141" t="s">
        <v>203</v>
      </c>
      <c r="C120" s="262" t="s">
        <v>252</v>
      </c>
      <c r="D120" s="262"/>
      <c r="E120" s="262"/>
      <c r="F120" s="262"/>
      <c r="G120" s="262"/>
      <c r="H120" s="262"/>
      <c r="I120" s="262"/>
      <c r="J120" s="262"/>
    </row>
    <row r="121" spans="1:10" ht="14.25" customHeight="1">
      <c r="A121" s="142"/>
      <c r="B121" s="2"/>
      <c r="C121" s="262"/>
      <c r="D121" s="262"/>
      <c r="E121" s="262"/>
      <c r="F121" s="262"/>
      <c r="G121" s="262"/>
      <c r="H121" s="262"/>
      <c r="I121" s="262"/>
      <c r="J121" s="262"/>
    </row>
    <row r="122" spans="2:10" ht="14.25" customHeight="1">
      <c r="B122" s="2"/>
      <c r="C122" s="262"/>
      <c r="D122" s="262"/>
      <c r="E122" s="262"/>
      <c r="F122" s="262"/>
      <c r="G122" s="262"/>
      <c r="H122" s="262"/>
      <c r="I122" s="262"/>
      <c r="J122" s="262"/>
    </row>
    <row r="123" spans="2:10" ht="14.25" customHeight="1">
      <c r="B123" s="2"/>
      <c r="C123" s="142" t="s">
        <v>212</v>
      </c>
      <c r="D123" s="263" t="s">
        <v>253</v>
      </c>
      <c r="E123" s="263"/>
      <c r="F123" s="263"/>
      <c r="G123" s="263"/>
      <c r="H123" s="263"/>
      <c r="I123" s="263"/>
      <c r="J123" s="263"/>
    </row>
    <row r="124" spans="2:10" ht="14.25" customHeight="1">
      <c r="B124" s="2"/>
      <c r="C124" s="142" t="s">
        <v>214</v>
      </c>
      <c r="D124" s="263" t="s">
        <v>254</v>
      </c>
      <c r="E124" s="263"/>
      <c r="F124" s="263"/>
      <c r="G124" s="263"/>
      <c r="H124" s="263"/>
      <c r="I124" s="263"/>
      <c r="J124" s="263"/>
    </row>
    <row r="125" spans="2:10" ht="14.25" customHeight="1">
      <c r="B125" s="2"/>
      <c r="C125" s="142" t="s">
        <v>229</v>
      </c>
      <c r="D125" s="263" t="s">
        <v>255</v>
      </c>
      <c r="E125" s="263"/>
      <c r="F125" s="263"/>
      <c r="G125" s="263"/>
      <c r="H125" s="263"/>
      <c r="I125" s="263"/>
      <c r="J125" s="263"/>
    </row>
    <row r="126" spans="1:10" ht="14.25" customHeight="1">
      <c r="A126" s="131"/>
      <c r="B126" s="141" t="s">
        <v>171</v>
      </c>
      <c r="C126" s="263" t="s">
        <v>256</v>
      </c>
      <c r="D126" s="263"/>
      <c r="E126" s="263"/>
      <c r="F126" s="263"/>
      <c r="G126" s="263"/>
      <c r="H126" s="263"/>
      <c r="I126" s="263"/>
      <c r="J126" s="263"/>
    </row>
    <row r="127" spans="2:10" ht="14.25" customHeight="1">
      <c r="B127" s="2"/>
      <c r="C127" s="263"/>
      <c r="D127" s="263"/>
      <c r="E127" s="263"/>
      <c r="F127" s="263"/>
      <c r="G127" s="263"/>
      <c r="H127" s="263"/>
      <c r="I127" s="263"/>
      <c r="J127" s="263"/>
    </row>
    <row r="128" spans="1:10" ht="14.25" customHeight="1">
      <c r="A128" s="131"/>
      <c r="B128" s="141" t="s">
        <v>207</v>
      </c>
      <c r="C128" s="263" t="s">
        <v>257</v>
      </c>
      <c r="D128" s="263"/>
      <c r="E128" s="263"/>
      <c r="F128" s="263"/>
      <c r="G128" s="263"/>
      <c r="H128" s="263"/>
      <c r="I128" s="263"/>
      <c r="J128" s="263"/>
    </row>
    <row r="129" spans="1:10" ht="14.25" customHeight="1">
      <c r="A129" s="131"/>
      <c r="B129" s="141" t="s">
        <v>209</v>
      </c>
      <c r="C129" s="263" t="s">
        <v>258</v>
      </c>
      <c r="D129" s="263"/>
      <c r="E129" s="263"/>
      <c r="F129" s="263"/>
      <c r="G129" s="263"/>
      <c r="H129" s="263"/>
      <c r="I129" s="263"/>
      <c r="J129" s="263"/>
    </row>
    <row r="130" spans="1:10" ht="14.25" customHeight="1">
      <c r="A130" s="142"/>
      <c r="B130" s="142"/>
      <c r="C130" s="142"/>
      <c r="D130" s="18"/>
      <c r="E130" s="18"/>
      <c r="F130" s="129"/>
      <c r="G130" s="129"/>
      <c r="H130" s="129"/>
      <c r="I130" s="129"/>
      <c r="J130" s="18"/>
    </row>
    <row r="131" spans="1:10" ht="14.25" customHeight="1">
      <c r="A131" s="263" t="s">
        <v>259</v>
      </c>
      <c r="B131" s="263"/>
      <c r="C131" s="263"/>
      <c r="D131" s="263"/>
      <c r="E131" s="263"/>
      <c r="F131" s="263"/>
      <c r="G131" s="263"/>
      <c r="H131" s="263"/>
      <c r="I131" s="263"/>
      <c r="J131" s="263"/>
    </row>
    <row r="132" spans="1:10" ht="14.25" customHeight="1">
      <c r="A132" s="142"/>
      <c r="B132" s="263" t="s">
        <v>260</v>
      </c>
      <c r="C132" s="263"/>
      <c r="D132" s="263"/>
      <c r="E132" s="263"/>
      <c r="F132" s="263"/>
      <c r="G132" s="263"/>
      <c r="H132" s="263"/>
      <c r="I132" s="263"/>
      <c r="J132" s="263"/>
    </row>
    <row r="133" spans="1:10" ht="14.25" customHeight="1">
      <c r="A133" s="142"/>
      <c r="B133" s="142"/>
      <c r="C133" s="142"/>
      <c r="D133" s="18"/>
      <c r="E133" s="18"/>
      <c r="F133" s="129"/>
      <c r="G133" s="129"/>
      <c r="H133" s="129"/>
      <c r="I133" s="129"/>
      <c r="J133" s="18"/>
    </row>
    <row r="134" spans="1:10" ht="14.25" customHeight="1">
      <c r="A134" s="263" t="s">
        <v>261</v>
      </c>
      <c r="B134" s="263"/>
      <c r="C134" s="263"/>
      <c r="D134" s="263"/>
      <c r="E134" s="263"/>
      <c r="F134" s="263"/>
      <c r="G134" s="263"/>
      <c r="H134" s="263"/>
      <c r="I134" s="263"/>
      <c r="J134" s="263"/>
    </row>
    <row r="135" spans="1:10" ht="14.25" customHeight="1">
      <c r="A135" s="142"/>
      <c r="B135" s="262" t="s">
        <v>374</v>
      </c>
      <c r="C135" s="262"/>
      <c r="D135" s="262"/>
      <c r="E135" s="262"/>
      <c r="F135" s="262"/>
      <c r="G135" s="262"/>
      <c r="H135" s="262"/>
      <c r="I135" s="262"/>
      <c r="J135" s="262"/>
    </row>
    <row r="136" spans="1:10" ht="14.25" customHeight="1">
      <c r="A136" s="142"/>
      <c r="B136" s="262"/>
      <c r="C136" s="262"/>
      <c r="D136" s="262"/>
      <c r="E136" s="262"/>
      <c r="F136" s="262"/>
      <c r="G136" s="262"/>
      <c r="H136" s="262"/>
      <c r="I136" s="262"/>
      <c r="J136" s="262"/>
    </row>
    <row r="137" spans="1:10" ht="14.25" customHeight="1">
      <c r="A137" s="142"/>
      <c r="B137" s="142"/>
      <c r="C137" s="142"/>
      <c r="D137" s="18"/>
      <c r="E137" s="18"/>
      <c r="F137" s="129"/>
      <c r="G137" s="129"/>
      <c r="H137" s="129"/>
      <c r="I137" s="129"/>
      <c r="J137" s="18"/>
    </row>
    <row r="138" spans="1:10" ht="14.25" customHeight="1">
      <c r="A138" s="263" t="s">
        <v>262</v>
      </c>
      <c r="B138" s="263"/>
      <c r="C138" s="263"/>
      <c r="D138" s="263"/>
      <c r="E138" s="263"/>
      <c r="F138" s="263"/>
      <c r="G138" s="263"/>
      <c r="H138" s="263"/>
      <c r="I138" s="263"/>
      <c r="J138" s="263"/>
    </row>
    <row r="139" spans="1:10" ht="14.25" customHeight="1">
      <c r="A139" s="131"/>
      <c r="B139" s="141" t="s">
        <v>203</v>
      </c>
      <c r="C139" s="263" t="s">
        <v>359</v>
      </c>
      <c r="D139" s="263"/>
      <c r="E139" s="263"/>
      <c r="F139" s="263"/>
      <c r="G139" s="263"/>
      <c r="H139" s="263"/>
      <c r="I139" s="263"/>
      <c r="J139" s="263"/>
    </row>
    <row r="140" spans="1:10" ht="14.25" customHeight="1">
      <c r="A140" s="142"/>
      <c r="B140" s="2"/>
      <c r="C140" s="263"/>
      <c r="D140" s="263"/>
      <c r="E140" s="263"/>
      <c r="F140" s="263"/>
      <c r="G140" s="263"/>
      <c r="H140" s="263"/>
      <c r="I140" s="263"/>
      <c r="J140" s="263"/>
    </row>
    <row r="141" spans="1:10" ht="14.25" customHeight="1">
      <c r="A141" s="131"/>
      <c r="B141" s="141" t="s">
        <v>171</v>
      </c>
      <c r="C141" s="263" t="s">
        <v>378</v>
      </c>
      <c r="D141" s="263"/>
      <c r="E141" s="263"/>
      <c r="F141" s="263"/>
      <c r="G141" s="263"/>
      <c r="H141" s="263"/>
      <c r="I141" s="263"/>
      <c r="J141" s="263"/>
    </row>
    <row r="142" spans="3:10" ht="14.25" customHeight="1">
      <c r="C142" s="263"/>
      <c r="D142" s="263"/>
      <c r="E142" s="263"/>
      <c r="F142" s="263"/>
      <c r="G142" s="263"/>
      <c r="H142" s="263"/>
      <c r="I142" s="263"/>
      <c r="J142" s="263"/>
    </row>
    <row r="143" spans="2:10" ht="14.25" customHeight="1">
      <c r="B143" s="141" t="s">
        <v>207</v>
      </c>
      <c r="C143" s="262" t="s">
        <v>375</v>
      </c>
      <c r="D143" s="262"/>
      <c r="E143" s="262"/>
      <c r="F143" s="262"/>
      <c r="G143" s="262"/>
      <c r="H143" s="262"/>
      <c r="I143" s="262"/>
      <c r="J143" s="262"/>
    </row>
    <row r="144" spans="2:10" ht="14.25" customHeight="1">
      <c r="B144" s="141"/>
      <c r="C144" s="262"/>
      <c r="D144" s="262"/>
      <c r="E144" s="262"/>
      <c r="F144" s="262"/>
      <c r="G144" s="262"/>
      <c r="H144" s="262"/>
      <c r="I144" s="262"/>
      <c r="J144" s="262"/>
    </row>
    <row r="145" spans="4:10" ht="14.25" customHeight="1">
      <c r="D145" s="264" t="s">
        <v>363</v>
      </c>
      <c r="E145" s="264"/>
      <c r="F145" s="264"/>
      <c r="G145" s="264"/>
      <c r="H145" s="264"/>
      <c r="I145" s="264"/>
      <c r="J145" s="264"/>
    </row>
    <row r="146" spans="4:10" ht="14.25" customHeight="1">
      <c r="D146" s="263" t="s">
        <v>364</v>
      </c>
      <c r="E146" s="263"/>
      <c r="F146" s="263"/>
      <c r="G146" s="263"/>
      <c r="H146" s="263"/>
      <c r="I146" s="263"/>
      <c r="J146" s="263"/>
    </row>
    <row r="147" spans="4:10" ht="14.25" customHeight="1">
      <c r="D147" s="263" t="s">
        <v>365</v>
      </c>
      <c r="E147" s="263"/>
      <c r="F147" s="263"/>
      <c r="G147" s="263"/>
      <c r="H147" s="263"/>
      <c r="I147" s="263"/>
      <c r="J147" s="263"/>
    </row>
    <row r="148" spans="4:10" ht="14.25" customHeight="1">
      <c r="D148" s="263" t="s">
        <v>366</v>
      </c>
      <c r="E148" s="263"/>
      <c r="F148" s="263"/>
      <c r="G148" s="263"/>
      <c r="H148" s="263"/>
      <c r="I148" s="263"/>
      <c r="J148" s="263"/>
    </row>
    <row r="149" spans="4:10" ht="14.25" customHeight="1">
      <c r="D149" s="263" t="s">
        <v>367</v>
      </c>
      <c r="E149" s="263"/>
      <c r="F149" s="263"/>
      <c r="G149" s="263"/>
      <c r="H149" s="263"/>
      <c r="I149" s="263"/>
      <c r="J149" s="263"/>
    </row>
    <row r="150" spans="4:10" ht="14.25" customHeight="1">
      <c r="D150" s="263" t="s">
        <v>368</v>
      </c>
      <c r="E150" s="263"/>
      <c r="F150" s="263"/>
      <c r="G150" s="263"/>
      <c r="H150" s="263"/>
      <c r="I150" s="263"/>
      <c r="J150" s="263"/>
    </row>
    <row r="151" spans="4:10" ht="14.25" customHeight="1">
      <c r="D151" s="263" t="s">
        <v>369</v>
      </c>
      <c r="E151" s="263"/>
      <c r="F151" s="263"/>
      <c r="G151" s="263"/>
      <c r="H151" s="263"/>
      <c r="I151" s="263"/>
      <c r="J151" s="263"/>
    </row>
    <row r="152" spans="4:10" ht="14.25" customHeight="1">
      <c r="D152" s="132"/>
      <c r="E152" s="132"/>
      <c r="F152" s="143"/>
      <c r="G152" s="143"/>
      <c r="H152" s="143"/>
      <c r="I152" s="143"/>
      <c r="J152" s="132"/>
    </row>
    <row r="153" spans="1:10" ht="14.25" customHeight="1">
      <c r="A153" s="263" t="s">
        <v>263</v>
      </c>
      <c r="B153" s="263"/>
      <c r="C153" s="263"/>
      <c r="D153" s="263"/>
      <c r="E153" s="263"/>
      <c r="F153" s="263"/>
      <c r="G153" s="263"/>
      <c r="H153" s="263"/>
      <c r="I153" s="263"/>
      <c r="J153" s="263"/>
    </row>
    <row r="154" spans="2:10" ht="14.25" customHeight="1">
      <c r="B154" s="263" t="s">
        <v>264</v>
      </c>
      <c r="C154" s="263"/>
      <c r="D154" s="263"/>
      <c r="E154" s="263"/>
      <c r="F154" s="263"/>
      <c r="G154" s="263"/>
      <c r="H154" s="263"/>
      <c r="I154" s="263"/>
      <c r="J154" s="263"/>
    </row>
    <row r="155" spans="1:10" ht="14.25" customHeight="1">
      <c r="A155" s="131"/>
      <c r="B155" s="141" t="s">
        <v>203</v>
      </c>
      <c r="C155" s="263" t="s">
        <v>325</v>
      </c>
      <c r="D155" s="263"/>
      <c r="E155" s="263"/>
      <c r="F155" s="263"/>
      <c r="G155" s="263"/>
      <c r="H155" s="263"/>
      <c r="I155" s="263"/>
      <c r="J155" s="263"/>
    </row>
    <row r="156" spans="1:10" ht="14.25" customHeight="1">
      <c r="A156" s="142"/>
      <c r="C156" s="142"/>
      <c r="D156" s="263" t="s">
        <v>265</v>
      </c>
      <c r="E156" s="263"/>
      <c r="F156" s="263"/>
      <c r="G156" s="263"/>
      <c r="H156" s="263"/>
      <c r="I156" s="263"/>
      <c r="J156" s="263"/>
    </row>
    <row r="157" spans="4:10" ht="14.25" customHeight="1">
      <c r="D157" s="263" t="s">
        <v>266</v>
      </c>
      <c r="E157" s="263"/>
      <c r="F157" s="263"/>
      <c r="G157" s="263"/>
      <c r="H157" s="263"/>
      <c r="I157" s="263"/>
      <c r="J157" s="263"/>
    </row>
    <row r="158" spans="1:10" ht="14.25" customHeight="1">
      <c r="A158" s="131"/>
      <c r="B158" s="131"/>
      <c r="C158" s="131"/>
      <c r="D158" s="263" t="s">
        <v>267</v>
      </c>
      <c r="E158" s="263"/>
      <c r="F158" s="263"/>
      <c r="G158" s="263"/>
      <c r="H158" s="263"/>
      <c r="I158" s="263"/>
      <c r="J158" s="263"/>
    </row>
    <row r="159" spans="1:10" ht="14.25" customHeight="1">
      <c r="A159" s="131"/>
      <c r="B159" s="141" t="s">
        <v>171</v>
      </c>
      <c r="C159" s="263" t="s">
        <v>326</v>
      </c>
      <c r="D159" s="263"/>
      <c r="E159" s="263"/>
      <c r="F159" s="263"/>
      <c r="G159" s="263"/>
      <c r="H159" s="263"/>
      <c r="I159" s="263"/>
      <c r="J159" s="263"/>
    </row>
    <row r="160" spans="1:10" ht="14.25" customHeight="1">
      <c r="A160" s="131"/>
      <c r="B160" s="131"/>
      <c r="C160" s="262" t="s">
        <v>268</v>
      </c>
      <c r="D160" s="262"/>
      <c r="E160" s="262"/>
      <c r="F160" s="262"/>
      <c r="G160" s="262"/>
      <c r="H160" s="262"/>
      <c r="I160" s="262"/>
      <c r="J160" s="262"/>
    </row>
    <row r="161" spans="3:10" ht="14.25" customHeight="1">
      <c r="C161" s="262"/>
      <c r="D161" s="262"/>
      <c r="E161" s="262"/>
      <c r="F161" s="262"/>
      <c r="G161" s="262"/>
      <c r="H161" s="262"/>
      <c r="I161" s="262"/>
      <c r="J161" s="262"/>
    </row>
    <row r="162" spans="4:10" ht="14.25" customHeight="1">
      <c r="D162" s="132"/>
      <c r="E162" s="132"/>
      <c r="F162" s="143"/>
      <c r="G162" s="143"/>
      <c r="H162" s="143"/>
      <c r="I162" s="143"/>
      <c r="J162" s="132"/>
    </row>
    <row r="163" spans="1:10" ht="14.25" customHeight="1">
      <c r="A163" s="263" t="s">
        <v>269</v>
      </c>
      <c r="B163" s="263"/>
      <c r="C163" s="263"/>
      <c r="D163" s="263"/>
      <c r="E163" s="263"/>
      <c r="F163" s="263"/>
      <c r="G163" s="263"/>
      <c r="H163" s="263"/>
      <c r="I163" s="263"/>
      <c r="J163" s="263"/>
    </row>
    <row r="164" spans="1:10" ht="14.25" customHeight="1">
      <c r="A164" s="131"/>
      <c r="B164" s="141" t="s">
        <v>203</v>
      </c>
      <c r="C164" s="263" t="s">
        <v>270</v>
      </c>
      <c r="D164" s="263"/>
      <c r="E164" s="263"/>
      <c r="F164" s="263"/>
      <c r="G164" s="263"/>
      <c r="H164" s="263"/>
      <c r="I164" s="263"/>
      <c r="J164" s="263"/>
    </row>
    <row r="165" spans="1:10" ht="14.25" customHeight="1">
      <c r="A165" s="131"/>
      <c r="B165" s="141" t="s">
        <v>171</v>
      </c>
      <c r="C165" s="263" t="s">
        <v>271</v>
      </c>
      <c r="D165" s="263"/>
      <c r="E165" s="263"/>
      <c r="F165" s="263"/>
      <c r="G165" s="263"/>
      <c r="H165" s="263"/>
      <c r="I165" s="263"/>
      <c r="J165" s="263"/>
    </row>
    <row r="166" spans="1:10" ht="14.25" customHeight="1">
      <c r="A166" s="131"/>
      <c r="B166" s="141" t="s">
        <v>207</v>
      </c>
      <c r="C166" s="262" t="s">
        <v>272</v>
      </c>
      <c r="D166" s="262"/>
      <c r="E166" s="262"/>
      <c r="F166" s="262"/>
      <c r="G166" s="262"/>
      <c r="H166" s="262"/>
      <c r="I166" s="262"/>
      <c r="J166" s="262"/>
    </row>
    <row r="167" spans="1:10" ht="14.25" customHeight="1">
      <c r="A167" s="2"/>
      <c r="C167" s="262"/>
      <c r="D167" s="262"/>
      <c r="E167" s="262"/>
      <c r="F167" s="262"/>
      <c r="G167" s="262"/>
      <c r="H167" s="262"/>
      <c r="I167" s="262"/>
      <c r="J167" s="262"/>
    </row>
    <row r="168" spans="1:10" ht="14.25" customHeight="1">
      <c r="A168" s="2"/>
      <c r="B168" s="2"/>
      <c r="C168" s="262"/>
      <c r="D168" s="262"/>
      <c r="E168" s="262"/>
      <c r="F168" s="262"/>
      <c r="G168" s="262"/>
      <c r="H168" s="262"/>
      <c r="I168" s="262"/>
      <c r="J168" s="262"/>
    </row>
    <row r="169" spans="1:10" ht="14.25" customHeight="1">
      <c r="A169" s="131"/>
      <c r="B169" s="141" t="s">
        <v>209</v>
      </c>
      <c r="C169" s="262" t="s">
        <v>315</v>
      </c>
      <c r="D169" s="262"/>
      <c r="E169" s="262"/>
      <c r="F169" s="262"/>
      <c r="G169" s="262"/>
      <c r="H169" s="262"/>
      <c r="I169" s="262"/>
      <c r="J169" s="262"/>
    </row>
    <row r="170" spans="1:10" ht="14.25" customHeight="1">
      <c r="A170" s="131"/>
      <c r="B170" s="141" t="s">
        <v>211</v>
      </c>
      <c r="C170" s="263" t="s">
        <v>328</v>
      </c>
      <c r="D170" s="263"/>
      <c r="E170" s="263"/>
      <c r="F170" s="263"/>
      <c r="G170" s="263"/>
      <c r="H170" s="263"/>
      <c r="I170" s="263"/>
      <c r="J170" s="263"/>
    </row>
    <row r="171" spans="1:10" ht="14.25" customHeight="1">
      <c r="A171" s="131"/>
      <c r="B171" s="131"/>
      <c r="C171" s="263"/>
      <c r="D171" s="263"/>
      <c r="E171" s="263"/>
      <c r="F171" s="263"/>
      <c r="G171" s="263"/>
      <c r="H171" s="263"/>
      <c r="I171" s="263"/>
      <c r="J171" s="263"/>
    </row>
  </sheetData>
  <sheetProtection password="E7B6" sheet="1" formatCells="0" formatRows="0" insertRows="0"/>
  <mergeCells count="127">
    <mergeCell ref="D19:G20"/>
    <mergeCell ref="B11:J12"/>
    <mergeCell ref="A14:J14"/>
    <mergeCell ref="B15:J15"/>
    <mergeCell ref="D16:G16"/>
    <mergeCell ref="D17:G17"/>
    <mergeCell ref="D18:G18"/>
    <mergeCell ref="A3:J3"/>
    <mergeCell ref="C4:E4"/>
    <mergeCell ref="F4:J4"/>
    <mergeCell ref="C5:J5"/>
    <mergeCell ref="C6:J7"/>
    <mergeCell ref="A10:J10"/>
    <mergeCell ref="B8:J8"/>
    <mergeCell ref="D21:G21"/>
    <mergeCell ref="D23: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D42:F42"/>
    <mergeCell ref="G42:I42"/>
    <mergeCell ref="D43:F43"/>
    <mergeCell ref="G43:I43"/>
    <mergeCell ref="D44:F44"/>
    <mergeCell ref="G44:I44"/>
    <mergeCell ref="D45:F45"/>
    <mergeCell ref="G45:I45"/>
    <mergeCell ref="D46:F46"/>
    <mergeCell ref="G46:I46"/>
    <mergeCell ref="D47:F47"/>
    <mergeCell ref="G47:I47"/>
    <mergeCell ref="E48:I50"/>
    <mergeCell ref="E51:I52"/>
    <mergeCell ref="A54:J54"/>
    <mergeCell ref="C55:J55"/>
    <mergeCell ref="D56:J56"/>
    <mergeCell ref="C57:J57"/>
    <mergeCell ref="C58:J61"/>
    <mergeCell ref="C62:J62"/>
    <mergeCell ref="D63:J65"/>
    <mergeCell ref="C66:J66"/>
    <mergeCell ref="C67:J70"/>
    <mergeCell ref="C71:J71"/>
    <mergeCell ref="D72:J72"/>
    <mergeCell ref="D73:J73"/>
    <mergeCell ref="A75:J75"/>
    <mergeCell ref="B76:J76"/>
    <mergeCell ref="A78:J78"/>
    <mergeCell ref="B79:J80"/>
    <mergeCell ref="C81:J81"/>
    <mergeCell ref="C82:J82"/>
    <mergeCell ref="C83:J83"/>
    <mergeCell ref="C84:J84"/>
    <mergeCell ref="C85:J85"/>
    <mergeCell ref="C86:J86"/>
    <mergeCell ref="C87:J87"/>
    <mergeCell ref="A89:J89"/>
    <mergeCell ref="C90:J90"/>
    <mergeCell ref="D91:J92"/>
    <mergeCell ref="D93:J93"/>
    <mergeCell ref="D94:J95"/>
    <mergeCell ref="D96:J97"/>
    <mergeCell ref="D98:J98"/>
    <mergeCell ref="D99:J100"/>
    <mergeCell ref="D101:J101"/>
    <mergeCell ref="D102:J103"/>
    <mergeCell ref="D104:J105"/>
    <mergeCell ref="D106:J106"/>
    <mergeCell ref="C111:J111"/>
    <mergeCell ref="C112:J112"/>
    <mergeCell ref="C113:J113"/>
    <mergeCell ref="C114:J114"/>
    <mergeCell ref="D115:J115"/>
    <mergeCell ref="D107:J110"/>
    <mergeCell ref="D116:J116"/>
    <mergeCell ref="D117:J117"/>
    <mergeCell ref="A119:J119"/>
    <mergeCell ref="C120:J122"/>
    <mergeCell ref="D123:J123"/>
    <mergeCell ref="D124:J124"/>
    <mergeCell ref="D125:J125"/>
    <mergeCell ref="C126:J127"/>
    <mergeCell ref="C128:J128"/>
    <mergeCell ref="C129:J129"/>
    <mergeCell ref="A131:J131"/>
    <mergeCell ref="B132:J132"/>
    <mergeCell ref="A134:J134"/>
    <mergeCell ref="A138:J138"/>
    <mergeCell ref="C139:J140"/>
    <mergeCell ref="B135:J136"/>
    <mergeCell ref="C141:J142"/>
    <mergeCell ref="A153:J153"/>
    <mergeCell ref="D151:J151"/>
    <mergeCell ref="D145:J145"/>
    <mergeCell ref="D146:J146"/>
    <mergeCell ref="D147:J147"/>
    <mergeCell ref="B154:J154"/>
    <mergeCell ref="C155:J155"/>
    <mergeCell ref="D156:J156"/>
    <mergeCell ref="C165:J165"/>
    <mergeCell ref="D148:J148"/>
    <mergeCell ref="D149:J149"/>
    <mergeCell ref="D150:J150"/>
    <mergeCell ref="C143:J144"/>
    <mergeCell ref="C166:J168"/>
    <mergeCell ref="C160:J161"/>
    <mergeCell ref="C169:J169"/>
    <mergeCell ref="C170:J171"/>
    <mergeCell ref="D157:J157"/>
    <mergeCell ref="D158:J158"/>
    <mergeCell ref="C159:J159"/>
    <mergeCell ref="A163:J163"/>
    <mergeCell ref="C164:J164"/>
  </mergeCells>
  <printOptions/>
  <pageMargins left="0.65" right="0.36" top="0.4" bottom="0.89" header="0.27" footer="0.18"/>
  <pageSetup fitToHeight="10" horizontalDpi="600" verticalDpi="600" orientation="portrait" paperSize="9" scale="85" r:id="rId1"/>
  <rowBreaks count="2" manualBreakCount="2">
    <brk id="52" max="255" man="1"/>
    <brk id="11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88"/>
  <sheetViews>
    <sheetView view="pageBreakPreview" zoomScale="80" zoomScaleNormal="85" zoomScaleSheetLayoutView="80" zoomScalePageLayoutView="0" workbookViewId="0" topLeftCell="A70">
      <selection activeCell="A1" sqref="A1:H1"/>
    </sheetView>
  </sheetViews>
  <sheetFormatPr defaultColWidth="9.00390625" defaultRowHeight="13.5"/>
  <cols>
    <col min="1" max="1" width="9.75390625" style="112" customWidth="1"/>
    <col min="2" max="2" width="13.25390625" style="112" customWidth="1"/>
    <col min="3" max="3" width="39.75390625" style="112" customWidth="1"/>
    <col min="4" max="4" width="5.00390625" style="112" bestFit="1" customWidth="1"/>
    <col min="5" max="5" width="29.375" style="112" customWidth="1"/>
    <col min="6" max="6" width="31.625" style="112" customWidth="1"/>
    <col min="7" max="7" width="28.75390625" style="112" customWidth="1"/>
    <col min="8" max="8" width="5.875" style="112" customWidth="1"/>
    <col min="9" max="16384" width="9.00390625" style="112" customWidth="1"/>
  </cols>
  <sheetData>
    <row r="1" spans="1:8" ht="12">
      <c r="A1" s="344" t="s">
        <v>141</v>
      </c>
      <c r="B1" s="344"/>
      <c r="C1" s="344"/>
      <c r="D1" s="344"/>
      <c r="E1" s="344"/>
      <c r="F1" s="344"/>
      <c r="G1" s="344"/>
      <c r="H1" s="344"/>
    </row>
    <row r="2" spans="1:8" ht="12">
      <c r="A2" s="345" t="s">
        <v>76</v>
      </c>
      <c r="B2" s="345"/>
      <c r="C2" s="345"/>
      <c r="D2" s="345"/>
      <c r="E2" s="345"/>
      <c r="F2" s="345"/>
      <c r="G2" s="345"/>
      <c r="H2" s="345"/>
    </row>
    <row r="3" spans="1:8" ht="24">
      <c r="A3" s="113" t="s">
        <v>77</v>
      </c>
      <c r="B3" s="113" t="s">
        <v>94</v>
      </c>
      <c r="C3" s="113" t="s">
        <v>95</v>
      </c>
      <c r="D3" s="113" t="s">
        <v>78</v>
      </c>
      <c r="E3" s="113" t="s">
        <v>79</v>
      </c>
      <c r="F3" s="113" t="s">
        <v>96</v>
      </c>
      <c r="G3" s="113" t="s">
        <v>80</v>
      </c>
      <c r="H3" s="113" t="s">
        <v>81</v>
      </c>
    </row>
    <row r="4" spans="1:8" ht="42" customHeight="1">
      <c r="A4" s="114" t="s">
        <v>131</v>
      </c>
      <c r="B4" s="115"/>
      <c r="C4" s="116"/>
      <c r="D4" s="113" t="s">
        <v>82</v>
      </c>
      <c r="E4" s="117" t="s">
        <v>142</v>
      </c>
      <c r="F4" s="116"/>
      <c r="G4" s="115"/>
      <c r="H4" s="118"/>
    </row>
    <row r="5" spans="1:8" ht="40.5" customHeight="1">
      <c r="A5" s="281" t="s">
        <v>83</v>
      </c>
      <c r="B5" s="309" t="s">
        <v>84</v>
      </c>
      <c r="C5" s="331" t="str">
        <f>IF('入力シート'!C32="適用",'入力シート'!E32,"今回工事ではこの項目を適用しません。")</f>
        <v>今回工事ではこの項目を適用しません。</v>
      </c>
      <c r="D5" s="343" t="str">
        <f>IF('入力シート'!C32="適用","２号","不要")</f>
        <v>不要</v>
      </c>
      <c r="E5" s="323">
        <f>IF('入力シート'!C32="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f>
      </c>
      <c r="F5" s="341">
        <f>IF('入力シート'!C32="適用","不要","")</f>
      </c>
      <c r="G5" s="151">
        <f>IF('入力シート'!$C$32="適用","工程管理に対して、現場条件を踏まえて適切であり、重要な項目が網羅されている。","")</f>
      </c>
      <c r="H5" s="152">
        <f>IF('入力シート'!$C$32="適用",6,"")</f>
      </c>
    </row>
    <row r="6" spans="1:8" ht="40.5" customHeight="1">
      <c r="A6" s="282"/>
      <c r="B6" s="309"/>
      <c r="C6" s="332"/>
      <c r="D6" s="343"/>
      <c r="E6" s="324"/>
      <c r="F6" s="341"/>
      <c r="G6" s="153">
        <f>IF('入力シート'!$C$32="適用","工程管理に対して、重要な項目が概ね記載されている。","")</f>
      </c>
      <c r="H6" s="154">
        <f>IF('入力シート'!$C$32="適用",3,"")</f>
      </c>
    </row>
    <row r="7" spans="1:8" ht="40.5" customHeight="1">
      <c r="A7" s="282"/>
      <c r="B7" s="309"/>
      <c r="C7" s="332"/>
      <c r="D7" s="343"/>
      <c r="E7" s="324"/>
      <c r="F7" s="341"/>
      <c r="G7" s="153">
        <f>IF('入力シート'!$C$32="適用","工程管理に対して、重要な項目の記載が十分でなく、一般的な事項が記載されている。","")</f>
      </c>
      <c r="H7" s="154">
        <f>IF('入力シート'!$C$32="適用",0,"")</f>
      </c>
    </row>
    <row r="8" spans="1:8" ht="27" customHeight="1">
      <c r="A8" s="282"/>
      <c r="B8" s="309"/>
      <c r="C8" s="333"/>
      <c r="D8" s="343"/>
      <c r="E8" s="325"/>
      <c r="F8" s="341"/>
      <c r="G8" s="158">
        <f>IF('入力シート'!$C$32="適用","不適切である。","")</f>
      </c>
      <c r="H8" s="157">
        <f>IF('入力シート'!$C$32="適用","欠格","")</f>
      </c>
    </row>
    <row r="9" spans="1:8" ht="40.5" customHeight="1">
      <c r="A9" s="282"/>
      <c r="B9" s="309" t="s">
        <v>85</v>
      </c>
      <c r="C9" s="331" t="str">
        <f>IF('入力シート'!C33="適用",'入力シート'!E33,"今回工事ではこの項目を適用しません。")</f>
        <v>地盤改良に関する施工方法や改良体の品質や出来形に関すること</v>
      </c>
      <c r="D9" s="343" t="str">
        <f>IF('入力シート'!C33="適用","３号","不要")</f>
        <v>３号</v>
      </c>
      <c r="E9" s="323" t="str">
        <f>IF('入力シート'!C33="適用","指定された品質管理上配慮すべき事項について、現場の状況を踏まえて、その対策及び技術的所見を記入してください。
指定の様式(A4片面)1枚とします。","")</f>
        <v>指定された品質管理上配慮すべき事項について、現場の状況を踏まえて、その対策及び技術的所見を記入してください。
指定の様式(A4片面)1枚とします。</v>
      </c>
      <c r="F9" s="341" t="str">
        <f>IF('入力シート'!C33="適用","不要","")</f>
        <v>不要</v>
      </c>
      <c r="G9" s="151" t="str">
        <f>IF('入力シート'!$C$33="適用","配慮すべき事項に対して、現場条件を踏まえて適切であり、重要な項目が網羅されている。","")</f>
        <v>配慮すべき事項に対して、現場条件を踏まえて適切であり、重要な項目が網羅されている。</v>
      </c>
      <c r="H9" s="152">
        <f>IF('入力シート'!$C$33="適用",6,"")</f>
        <v>6</v>
      </c>
    </row>
    <row r="10" spans="1:8" ht="40.5" customHeight="1">
      <c r="A10" s="282"/>
      <c r="B10" s="309"/>
      <c r="C10" s="332"/>
      <c r="D10" s="343"/>
      <c r="E10" s="324"/>
      <c r="F10" s="341"/>
      <c r="G10" s="153" t="str">
        <f>IF('入力シート'!$C$33="適用","配慮すべき事項に対して、重要な項目が概ね記載されている。","")</f>
        <v>配慮すべき事項に対して、重要な項目が概ね記載されている。</v>
      </c>
      <c r="H10" s="154">
        <f>IF('入力シート'!$C$33="適用",3,"")</f>
        <v>3</v>
      </c>
    </row>
    <row r="11" spans="1:8" ht="40.5" customHeight="1">
      <c r="A11" s="282"/>
      <c r="B11" s="309"/>
      <c r="C11" s="332"/>
      <c r="D11" s="343"/>
      <c r="E11" s="324"/>
      <c r="F11" s="341"/>
      <c r="G11" s="153" t="str">
        <f>IF('入力シート'!$C$33="適用","配慮すべき事項に対して、重要な項目の記載が十分でなく、一般的な事項が記載されている。","")</f>
        <v>配慮すべき事項に対して、重要な項目の記載が十分でなく、一般的な事項が記載されている。</v>
      </c>
      <c r="H11" s="154">
        <f>IF('入力シート'!$C$33="適用",0,"")</f>
        <v>0</v>
      </c>
    </row>
    <row r="12" spans="1:8" ht="27" customHeight="1">
      <c r="A12" s="282"/>
      <c r="B12" s="309"/>
      <c r="C12" s="333"/>
      <c r="D12" s="343"/>
      <c r="E12" s="325"/>
      <c r="F12" s="341"/>
      <c r="G12" s="158" t="str">
        <f>IF('入力シート'!$C$33="適用","不適切である。","")</f>
        <v>不適切である。</v>
      </c>
      <c r="H12" s="157" t="str">
        <f>IF('入力シート'!$C$33="適用","欠格","")</f>
        <v>欠格</v>
      </c>
    </row>
    <row r="13" spans="1:8" ht="40.5" customHeight="1">
      <c r="A13" s="282"/>
      <c r="B13" s="309" t="s">
        <v>86</v>
      </c>
      <c r="C13" s="342" t="str">
        <f>IF('入力シート'!C34="適用",'入力シート'!E34,"今回工事ではこの項目を適用しません。")</f>
        <v>今回工事ではこの項目を適用しません。</v>
      </c>
      <c r="D13" s="343" t="str">
        <f>IF('入力シート'!C34="適用","４号","不要")</f>
        <v>不要</v>
      </c>
      <c r="E13" s="323">
        <f>IF('入力シート'!C34="適用","指定された施工上の課題について、その対策及び技術的所見を記入してください。
指定の様式(A4片面)1枚とします。","")</f>
      </c>
      <c r="F13" s="341">
        <f>IF('入力シート'!C34="適用","不要","")</f>
      </c>
      <c r="G13" s="151">
        <f>IF('入力シート'!$C$34="適用","課題に対して、現場条件を踏まえて適切であり、重要な項目が網羅されている。","")</f>
      </c>
      <c r="H13" s="152">
        <f>IF('入力シート'!$C$34="適用",6,"")</f>
      </c>
    </row>
    <row r="14" spans="1:8" ht="40.5" customHeight="1">
      <c r="A14" s="282"/>
      <c r="B14" s="309"/>
      <c r="C14" s="342"/>
      <c r="D14" s="343"/>
      <c r="E14" s="324"/>
      <c r="F14" s="341"/>
      <c r="G14" s="153">
        <f>IF('入力シート'!$C$34="適用","課題に対して、重要な項目が概ね記載されている。","")</f>
      </c>
      <c r="H14" s="154">
        <f>IF('入力シート'!$C$34="適用",3,"")</f>
      </c>
    </row>
    <row r="15" spans="1:8" ht="40.5" customHeight="1">
      <c r="A15" s="282"/>
      <c r="B15" s="309"/>
      <c r="C15" s="342"/>
      <c r="D15" s="343"/>
      <c r="E15" s="324"/>
      <c r="F15" s="341"/>
      <c r="G15" s="153">
        <f>IF('入力シート'!$C$34="適用","課題に対して、重要な項目の記載が十分でなく、一般的な事項が記載されている。","")</f>
      </c>
      <c r="H15" s="154">
        <f>IF('入力シート'!$C$34="適用",0,"")</f>
      </c>
    </row>
    <row r="16" spans="1:8" ht="27" customHeight="1">
      <c r="A16" s="282"/>
      <c r="B16" s="309"/>
      <c r="C16" s="342"/>
      <c r="D16" s="343"/>
      <c r="E16" s="325"/>
      <c r="F16" s="341"/>
      <c r="G16" s="158">
        <f>IF('入力シート'!$C$34="適用","不適切である。","")</f>
      </c>
      <c r="H16" s="157">
        <f>IF('入力シート'!$C$34="適用","欠格","")</f>
      </c>
    </row>
    <row r="17" spans="1:8" ht="40.5" customHeight="1">
      <c r="A17" s="282"/>
      <c r="B17" s="309" t="s">
        <v>87</v>
      </c>
      <c r="C17" s="342" t="str">
        <f>IF('入力シート'!C35="適用",'入力シート'!E35,"今回工事ではこの項目を適用しません。")</f>
        <v>施工を考慮したヤード計画や周辺環境に関すること</v>
      </c>
      <c r="D17" s="343" t="str">
        <f>IF('入力シート'!C35="適用","５号","不要")</f>
        <v>５号</v>
      </c>
      <c r="E17" s="323" t="str">
        <f>IF('入力シート'!C35="適用","指定された施工上配慮すべき事項について、その対策及び技術的所見を記入してください。
指定の様式(A4片面)1枚とします。","")</f>
        <v>指定された施工上配慮すべき事項について、その対策及び技術的所見を記入してください。
指定の様式(A4片面)1枚とします。</v>
      </c>
      <c r="F17" s="341" t="str">
        <f>IF('入力シート'!C35="適用","不要","")</f>
        <v>不要</v>
      </c>
      <c r="G17" s="151" t="str">
        <f>IF('入力シート'!$C$35="適用","配慮すべき事項に対して、現場条件を踏まえて適切であり、重要な項目が網羅されている。","")</f>
        <v>配慮すべき事項に対して、現場条件を踏まえて適切であり、重要な項目が網羅されている。</v>
      </c>
      <c r="H17" s="152">
        <f>IF('入力シート'!$C$35="適用",6,"")</f>
        <v>6</v>
      </c>
    </row>
    <row r="18" spans="1:8" ht="40.5" customHeight="1">
      <c r="A18" s="282"/>
      <c r="B18" s="309"/>
      <c r="C18" s="342"/>
      <c r="D18" s="343"/>
      <c r="E18" s="324"/>
      <c r="F18" s="341"/>
      <c r="G18" s="153" t="str">
        <f>IF('入力シート'!$C$35="適用","配慮すべき事項に対して、重要な項目が概ね記載されている。","")</f>
        <v>配慮すべき事項に対して、重要な項目が概ね記載されている。</v>
      </c>
      <c r="H18" s="154">
        <f>IF('入力シート'!$C$35="適用",3,"")</f>
        <v>3</v>
      </c>
    </row>
    <row r="19" spans="1:8" ht="40.5" customHeight="1">
      <c r="A19" s="282"/>
      <c r="B19" s="309"/>
      <c r="C19" s="342"/>
      <c r="D19" s="343"/>
      <c r="E19" s="324"/>
      <c r="F19" s="341"/>
      <c r="G19" s="153" t="str">
        <f>IF('入力シート'!$C$35="適用","配慮すべき事項に対して、重要な項目の記載が十分でなく、一般的な事項が記載されている。","")</f>
        <v>配慮すべき事項に対して、重要な項目の記載が十分でなく、一般的な事項が記載されている。</v>
      </c>
      <c r="H19" s="154">
        <f>IF('入力シート'!$C$35="適用",0,"")</f>
        <v>0</v>
      </c>
    </row>
    <row r="20" spans="1:8" ht="31.5" customHeight="1">
      <c r="A20" s="282"/>
      <c r="B20" s="309"/>
      <c r="C20" s="342"/>
      <c r="D20" s="343"/>
      <c r="E20" s="325"/>
      <c r="F20" s="341"/>
      <c r="G20" s="158" t="str">
        <f>IF('入力シート'!$C$35="適用","不適切である。","")</f>
        <v>不適切である。</v>
      </c>
      <c r="H20" s="157" t="str">
        <f>IF('入力シート'!$C$35="適用","欠格","")</f>
        <v>欠格</v>
      </c>
    </row>
    <row r="21" spans="1:8" ht="40.5" customHeight="1">
      <c r="A21" s="282"/>
      <c r="B21" s="309" t="s">
        <v>88</v>
      </c>
      <c r="C21" s="342" t="str">
        <f>IF('入力シート'!C36="適用",'入力シート'!E36,"今回工事ではこの項目を適用しません。")</f>
        <v>今回工事ではこの項目を適用しません。</v>
      </c>
      <c r="D21" s="343" t="str">
        <f>IF('入力シート'!C36="適用","６号","不要")</f>
        <v>不要</v>
      </c>
      <c r="E21" s="323">
        <f>IF('入力シート'!C36="適用","指定された安全管理に留意すべき事項について、その対策及び技術的所見を記入してください。
指定の様式(A4片面)1枚とします。","")</f>
      </c>
      <c r="F21" s="341">
        <f>IF('入力シート'!C36="適用","不要","")</f>
      </c>
      <c r="G21" s="151">
        <f>IF('入力シート'!$C$36="適用","留意すべき事項に対して、現場条件を踏まえて適切であり、重要な項目が網羅されている。","")</f>
      </c>
      <c r="H21" s="152">
        <f>IF('入力シート'!$C$36="適用",6,"")</f>
      </c>
    </row>
    <row r="22" spans="1:8" ht="40.5" customHeight="1">
      <c r="A22" s="282"/>
      <c r="B22" s="309"/>
      <c r="C22" s="342"/>
      <c r="D22" s="343"/>
      <c r="E22" s="324"/>
      <c r="F22" s="341"/>
      <c r="G22" s="153">
        <f>IF('入力シート'!$C$36="適用","留意すべき事項に対して、重要な項目が概ね記載されている。","")</f>
      </c>
      <c r="H22" s="154">
        <f>IF('入力シート'!$C$36="適用",3,"")</f>
      </c>
    </row>
    <row r="23" spans="1:8" ht="40.5" customHeight="1">
      <c r="A23" s="282"/>
      <c r="B23" s="309"/>
      <c r="C23" s="342"/>
      <c r="D23" s="343"/>
      <c r="E23" s="324"/>
      <c r="F23" s="341"/>
      <c r="G23" s="153">
        <f>IF('入力シート'!$C$36="適用","留意すべき事項に対して、重要な項目の記載が十分でなく、一般的な事項が記載されている。","")</f>
      </c>
      <c r="H23" s="154">
        <f>IF('入力シート'!$C$36="適用",0,"")</f>
      </c>
    </row>
    <row r="24" spans="1:8" ht="30.75" customHeight="1">
      <c r="A24" s="282"/>
      <c r="B24" s="309"/>
      <c r="C24" s="342"/>
      <c r="D24" s="343"/>
      <c r="E24" s="325"/>
      <c r="F24" s="341"/>
      <c r="G24" s="158">
        <f>IF('入力シート'!$C$36="適用","不適切である。","")</f>
      </c>
      <c r="H24" s="157">
        <f>IF('入力シート'!$C$36="適用","欠格","")</f>
      </c>
    </row>
    <row r="25" spans="1:8" ht="40.5" customHeight="1">
      <c r="A25" s="282"/>
      <c r="B25" s="309" t="s">
        <v>89</v>
      </c>
      <c r="C25" s="342" t="str">
        <f>IF('入力シート'!C37="適用",'入力シート'!E37,"今回工事ではこの項目を適用しません。")</f>
        <v>今回工事ではこの項目を適用しません。</v>
      </c>
      <c r="D25" s="343" t="str">
        <f>IF('入力シート'!C37="適用","７号","不要")</f>
        <v>不要</v>
      </c>
      <c r="E25" s="323">
        <f>IF('入力シート'!C37="適用","指定された環境負荷軽減に配慮すべき事項について、その対策及び技術的所見を記入してください。
指定の様式(A4片面)1枚とします。","")</f>
      </c>
      <c r="F25" s="341">
        <f>IF('入力シート'!C37="適用","不要","")</f>
      </c>
      <c r="G25" s="151">
        <f>IF('入力シート'!$C$37="適用","配慮すべき事項に対して、現場条件を踏まえて適切であり、重要な項目が網羅されている。","")</f>
      </c>
      <c r="H25" s="152">
        <f>IF('入力シート'!$C$37="適用",6,"")</f>
      </c>
    </row>
    <row r="26" spans="1:8" ht="40.5" customHeight="1">
      <c r="A26" s="282"/>
      <c r="B26" s="309"/>
      <c r="C26" s="342"/>
      <c r="D26" s="343"/>
      <c r="E26" s="324"/>
      <c r="F26" s="341"/>
      <c r="G26" s="153">
        <f>IF('入力シート'!$C$37="適用","配慮すべき事項に対して、重要な項目が概ね記載されている。","")</f>
      </c>
      <c r="H26" s="154">
        <f>IF('入力シート'!$C$37="適用",3,"")</f>
      </c>
    </row>
    <row r="27" spans="1:8" ht="40.5" customHeight="1">
      <c r="A27" s="282"/>
      <c r="B27" s="309"/>
      <c r="C27" s="342"/>
      <c r="D27" s="343"/>
      <c r="E27" s="324"/>
      <c r="F27" s="341"/>
      <c r="G27" s="153">
        <f>IF('入力シート'!$C$37="適用","配慮すべき事項に対して、重要な項目の記載が十分でなく、一般的な事項が記載されている。","")</f>
      </c>
      <c r="H27" s="154">
        <f>IF('入力シート'!$C$37="適用",0,"")</f>
      </c>
    </row>
    <row r="28" spans="1:8" ht="29.25" customHeight="1">
      <c r="A28" s="283"/>
      <c r="B28" s="309"/>
      <c r="C28" s="342"/>
      <c r="D28" s="343"/>
      <c r="E28" s="325"/>
      <c r="F28" s="341"/>
      <c r="G28" s="158">
        <f>IF('入力シート'!$C$37="適用","不適切である。","")</f>
      </c>
      <c r="H28" s="157">
        <f>IF('入力シート'!$C$37="適用","欠格","")</f>
      </c>
    </row>
    <row r="29" spans="1:8" ht="24.75" customHeight="1">
      <c r="A29" s="281" t="s">
        <v>132</v>
      </c>
      <c r="B29" s="331" t="s">
        <v>90</v>
      </c>
      <c r="C29" s="119" t="str">
        <f>IF('入力シート'!C38="適用","過去15年間の同種工事の施工実績（※1）","今回工事ではこの項目を適用しません。")</f>
        <v>過去15年間の同種工事の施工実績（※1）</v>
      </c>
      <c r="D29" s="302" t="str">
        <f>IF('入力シート'!C38="適用","１号","不要")</f>
        <v>１号</v>
      </c>
      <c r="E29" s="334" t="str">
        <f>IF('入力シート'!C38="適用","平成12年4月1日以降に完成した同種工事の元請としての施工実績を１件記入してください。なお、本市発注工事（※2）での実績がある場合は、それを優先して記入してください。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29" s="121" t="str">
        <f>IF('入力シート'!C38="適用","施工実績を証明する書類","")</f>
        <v>施工実績を証明する書類</v>
      </c>
      <c r="G29" s="337" t="str">
        <f>IF('入力シート'!$C$38="適用","平成12年4月1日以降に完成した本市発注の同種工事の元請としての施工実績がある。","")</f>
        <v>平成12年4月1日以降に完成した本市発注の同種工事の元請としての施工実績がある。</v>
      </c>
      <c r="H29" s="329">
        <f>IF('入力シート'!$C$38="適用",4,"")</f>
        <v>4</v>
      </c>
    </row>
    <row r="30" spans="1:8" ht="91.5" customHeight="1">
      <c r="A30" s="282"/>
      <c r="B30" s="332"/>
      <c r="C30" s="282" t="str">
        <f>IF('入力シート'!C38="適用","同種工事："&amp;'入力シート'!E38,"")</f>
        <v>同種工事：地盤改良工事</v>
      </c>
      <c r="D30" s="303"/>
      <c r="E30" s="335"/>
      <c r="F30" s="282" t="str">
        <f>IF('入力シート'!C38="適用","(1)公共工事でコリンズ登録のある場合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30" s="338"/>
      <c r="H30" s="330"/>
    </row>
    <row r="31" spans="1:8" ht="82.5" customHeight="1">
      <c r="A31" s="282"/>
      <c r="B31" s="332"/>
      <c r="C31" s="282"/>
      <c r="D31" s="303"/>
      <c r="E31" s="335"/>
      <c r="F31" s="282"/>
      <c r="G31" s="153" t="str">
        <f>IF('入力シート'!$C$38="適用","平成12年4月1日以降に完成した本市発注以外の同種工事の元請としての施工実績がある。","")</f>
        <v>平成12年4月1日以降に完成した本市発注以外の同種工事の元請としての施工実績がある。</v>
      </c>
      <c r="H31" s="154">
        <f>IF('入力シート'!$C$38="適用",2,"")</f>
        <v>2</v>
      </c>
    </row>
    <row r="32" spans="1:8" ht="36.75" customHeight="1">
      <c r="A32" s="282"/>
      <c r="B32" s="333"/>
      <c r="C32" s="283"/>
      <c r="D32" s="304"/>
      <c r="E32" s="336"/>
      <c r="F32" s="283"/>
      <c r="G32" s="158" t="str">
        <f>IF('入力シート'!$C$38="適用","実績なし","")</f>
        <v>実績なし</v>
      </c>
      <c r="H32" s="157">
        <f>IF('入力シート'!$C$38="適用",0,"")</f>
        <v>0</v>
      </c>
    </row>
    <row r="33" spans="1:8" ht="55.5" customHeight="1">
      <c r="A33" s="282"/>
      <c r="B33" s="309" t="s">
        <v>91</v>
      </c>
      <c r="C33" s="119" t="str">
        <f>IF('入力シート'!C39="適用","過去2年間の同一登録工種工事での工事成績評定点80点以上の回数（※3）","今回工事ではこの項目を適用しません。")</f>
        <v>今回工事ではこの項目を適用しません。</v>
      </c>
      <c r="D33" s="302" t="str">
        <f>IF('入力シート'!C39="適用","１号","不要")</f>
        <v>不要</v>
      </c>
      <c r="E33" s="323">
        <f>IF('入力シート'!C39="適用","平成"&amp;'入力シート'!E58&amp;"年"&amp;'入力シート'!E59&amp;"月1日から、平成"&amp;'入力シート'!E61&amp;"年"&amp;'入力シート'!E62&amp;"月"&amp;'入力シート'!E63&amp;"日までに完成した本件工事と同一登録工種に係る本市発注工事（※2）の工事完成検査結果通知書の評定点が80点以上のものについて記入してください。また内容を証明するための右記資料を添付してください。","")</f>
      </c>
      <c r="F33" s="326">
        <f>IF('入力シート'!C39="適用","工事完成検査結果通知書の写し","")</f>
      </c>
      <c r="G33" s="151">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２件以上ある。","")</f>
      </c>
      <c r="H33" s="152">
        <f>IF('入力シート'!$C$39="適用",4,"")</f>
      </c>
    </row>
    <row r="34" spans="1:8" ht="57.75" customHeight="1">
      <c r="A34" s="282"/>
      <c r="B34" s="309"/>
      <c r="C34" s="176">
        <f>IF('入力シート'!C39="適用","同一登録工種："&amp;'入力シート'!E39,"")</f>
      </c>
      <c r="D34" s="303"/>
      <c r="E34" s="324"/>
      <c r="F34" s="327"/>
      <c r="G34" s="153">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１件ある。","")</f>
      </c>
      <c r="H34" s="154">
        <f>IF('入力シート'!$C$39="適用",2,"")</f>
      </c>
    </row>
    <row r="35" spans="1:8" ht="33.75" customHeight="1">
      <c r="A35" s="282"/>
      <c r="B35" s="309"/>
      <c r="C35" s="177">
        <f>IF('入力シート'!C39="適用","過去2年間：開札日の3ヶ月前の月末を最終日とし、その2年前の翌月1日を開始日とする期間","")</f>
      </c>
      <c r="D35" s="304"/>
      <c r="E35" s="325"/>
      <c r="F35" s="328"/>
      <c r="G35" s="158">
        <f>IF('入力シート'!$C$39="適用","該当なし","")</f>
      </c>
      <c r="H35" s="157">
        <f>IF('入力シート'!$C$39="適用",0,"")</f>
      </c>
    </row>
    <row r="36" spans="1:8" ht="53.25" customHeight="1">
      <c r="A36" s="282"/>
      <c r="B36" s="309" t="s">
        <v>163</v>
      </c>
      <c r="C36" s="119" t="str">
        <f>IF('入力シート'!C40="適用","過去5年間の優良工事施工会社表彰の回数（※3）","今回工事ではこの項目を適用しません。")</f>
        <v>今回工事ではこの項目を適用しません。</v>
      </c>
      <c r="D36" s="302" t="str">
        <f>IF('入力シート'!C40="適用","１号","不要")</f>
        <v>不要</v>
      </c>
      <c r="E36" s="323">
        <f>IF('入力シート'!C40="適用","平成22年度以降に、本件工事と同一部門で本市における優良工事施工会社表彰を受けている場合に記入してください。","")</f>
      </c>
      <c r="F36" s="317">
        <f>IF('入力シート'!C40="適用","不要","")</f>
      </c>
      <c r="G36" s="151">
        <f>IF('入力シート'!$C$40="適用","平成22年度以降に、本件工事と同一部門で本市における優良工事施工会社表彰を２回以上受けている。","")</f>
      </c>
      <c r="H36" s="152">
        <f>IF('入力シート'!$C$40="適用",4,"")</f>
      </c>
    </row>
    <row r="37" spans="1:8" ht="46.5" customHeight="1">
      <c r="A37" s="282"/>
      <c r="B37" s="309"/>
      <c r="C37" s="282">
        <f>IF('入力シート'!C40="適用","表彰部門："&amp;'入力シート'!E40,"")</f>
      </c>
      <c r="D37" s="303"/>
      <c r="E37" s="324"/>
      <c r="F37" s="320"/>
      <c r="G37" s="153">
        <f>IF('入力シート'!$C$40="適用","平成22年度以降に、本件工事と同一部門で本市における優良工事施工会社表彰を１回受けている。","")</f>
      </c>
      <c r="H37" s="154">
        <f>IF('入力シート'!$C$40="適用",2,"")</f>
      </c>
    </row>
    <row r="38" spans="1:8" ht="12">
      <c r="A38" s="282"/>
      <c r="B38" s="309"/>
      <c r="C38" s="283"/>
      <c r="D38" s="304"/>
      <c r="E38" s="325"/>
      <c r="F38" s="320"/>
      <c r="G38" s="158">
        <f>IF('入力シート'!$C$40="適用","該当なし","")</f>
      </c>
      <c r="H38" s="157">
        <f>IF('入力シート'!$C$40="適用",0,"")</f>
      </c>
    </row>
    <row r="39" spans="1:8" ht="18" customHeight="1">
      <c r="A39" s="282"/>
      <c r="B39" s="331" t="s">
        <v>133</v>
      </c>
      <c r="C39" s="339" t="str">
        <f>IF('入力シート'!C41="適用","配置予定技術者（入札公告に定める技術者）が有する過去15年間の同種工事の施工経験（※1）","今回工事ではこの項目を適用しません。")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39" s="302" t="str">
        <f>IF('入力シート'!C41="適用","１号","不要")</f>
        <v>１号</v>
      </c>
      <c r="E39" s="334" t="str">
        <f>IF('入力シート'!C41="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39" s="123" t="str">
        <f>IF('入力シート'!C41="適用","施工経験を証明する書類","")</f>
        <v>施工経験を証明する書類</v>
      </c>
      <c r="G39" s="337" t="str">
        <f>IF('入力シート'!$C$41="適用","平成12年4月1日以降に完成した本市発注の同種工事の元請としての施工経験(主任技術者、監理技術者、現場代理人のうち、いずれかの経験)がある。","")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39" s="329">
        <f>IF('入力シート'!$C$41="適用",4,"")</f>
        <v>4</v>
      </c>
    </row>
    <row r="40" spans="1:8" ht="147.75" customHeight="1">
      <c r="A40" s="282"/>
      <c r="B40" s="332"/>
      <c r="C40" s="340"/>
      <c r="D40" s="303"/>
      <c r="E40" s="335"/>
      <c r="F40" s="282" t="str">
        <f>IF('入力シート'!C41="適用","(1)公共工事でコリンズ登録のある場合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40" s="338"/>
      <c r="H40" s="330"/>
    </row>
    <row r="41" spans="1:8" ht="175.5" customHeight="1">
      <c r="A41" s="282"/>
      <c r="B41" s="332"/>
      <c r="C41" s="282" t="str">
        <f>IF('入力シート'!C41="適用","同種工事："&amp;'入力シート'!E41,"")</f>
        <v>同種工事：地盤改良工事</v>
      </c>
      <c r="D41" s="303"/>
      <c r="E41" s="335"/>
      <c r="F41" s="282"/>
      <c r="G41" s="153" t="str">
        <f>IF('入力シート'!$C$41="適用","平成12年4月1日以降に完成した本市発注以外の同種工事の元請としての施工経験(主任技術者、監理技術者、現場代理人のうち、いずれかの経験)がある。","")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41" s="154">
        <f>IF('入力シート'!$C$41="適用",2,"")</f>
        <v>2</v>
      </c>
    </row>
    <row r="42" spans="1:8" ht="18" customHeight="1">
      <c r="A42" s="282"/>
      <c r="B42" s="332"/>
      <c r="C42" s="282"/>
      <c r="D42" s="303"/>
      <c r="E42" s="335"/>
      <c r="F42" s="220" t="str">
        <f>IF('入力シート'!C41="適用","技術者資格を証明する書類","")</f>
        <v>技術者資格を証明する書類</v>
      </c>
      <c r="G42" s="321" t="str">
        <f>IF('入力シート'!$C$41="適用","該当なし","")</f>
        <v>該当なし</v>
      </c>
      <c r="H42" s="330">
        <f>IF('入力シート'!$C$41="適用",0,"")</f>
        <v>0</v>
      </c>
    </row>
    <row r="43" spans="1:8" ht="44.25" customHeight="1">
      <c r="A43" s="282"/>
      <c r="B43" s="333"/>
      <c r="C43" s="283"/>
      <c r="D43" s="304"/>
      <c r="E43" s="336"/>
      <c r="F43" s="177" t="str">
        <f>IF('入力シート'!C41="適用","監理技術者資格者証の写し及び監理技術者講習修了証の写し。","")</f>
        <v>監理技術者資格者証の写し及び監理技術者講習修了証の写し。</v>
      </c>
      <c r="G43" s="322"/>
      <c r="H43" s="322"/>
    </row>
    <row r="44" spans="1:8" ht="75.75" customHeight="1">
      <c r="A44" s="282"/>
      <c r="B44" s="309" t="s">
        <v>134</v>
      </c>
      <c r="C44" s="309" t="str">
        <f>IF('入力シート'!C42="適用","配置予定技術者（入札公告に定める技術者）が有する資格","今回工事ではこの項目を適用しません。")</f>
        <v>今回工事ではこの項目を適用しません。</v>
      </c>
      <c r="D44" s="302" t="str">
        <f>IF('入力シート'!C42="適用","１号","不要")</f>
        <v>不要</v>
      </c>
      <c r="E44" s="300">
        <f>IF('入力シート'!C42="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44" s="328">
        <f>IF('入力シート'!C42="適用","監理技術者資格者証及び監理技術者講習終了証の写し","")</f>
      </c>
      <c r="G44" s="151">
        <f>IF('入力シート'!$C$42="適用","監理技術者の配置を必要としない工事において、監理技術者資格者証を有する技術者を配置する。","")</f>
      </c>
      <c r="H44" s="152">
        <f>IF('入力シート'!$C$42="適用",4,"")</f>
      </c>
    </row>
    <row r="45" spans="1:8" ht="69.75" customHeight="1">
      <c r="A45" s="282"/>
      <c r="B45" s="309"/>
      <c r="C45" s="309"/>
      <c r="D45" s="304"/>
      <c r="E45" s="300"/>
      <c r="F45" s="301"/>
      <c r="G45" s="158">
        <f>IF('入力シート'!$C$42="適用","監理技術者の配置を必要としない工事において、監理技術者資格者証を有する技術者を配置しない。","")</f>
      </c>
      <c r="H45" s="157">
        <f>IF('入力シート'!$C$42="適用",0,"")</f>
      </c>
    </row>
    <row r="46" spans="1:8" ht="68.25" customHeight="1">
      <c r="A46" s="282"/>
      <c r="B46" s="309" t="s">
        <v>167</v>
      </c>
      <c r="C46" s="119" t="str">
        <f>IF('入力シート'!C43="適用","過去5年間の配置予定現場代理人の横浜市優良工事現場責任者表彰の有無","今回工事ではこの項目を適用しません。")</f>
        <v>今回工事ではこの項目を適用しません。</v>
      </c>
      <c r="D46" s="302" t="str">
        <f>IF('入力シート'!C43="適用","１号","不要")</f>
        <v>不要</v>
      </c>
      <c r="E46" s="300">
        <f>IF('入力シート'!C43="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c>
      <c r="F46" s="317">
        <f>IF('入力シート'!C43="適用","不要","")</f>
      </c>
      <c r="G46" s="151">
        <f>IF('入力シート'!$C$43="適用","平成22年度以降に、配置予定現場代理人が本件工事と同一部門で横浜市優良工事現場責任者表彰を受けている。","")</f>
      </c>
      <c r="H46" s="152">
        <f>IF('入力シート'!$C$43="適用",2,"")</f>
      </c>
    </row>
    <row r="47" spans="1:8" ht="37.5" customHeight="1">
      <c r="A47" s="282"/>
      <c r="B47" s="309"/>
      <c r="C47" s="282">
        <f>IF('入力シート'!C43="適用","表彰部門："&amp;'入力シート'!E43,"")</f>
      </c>
      <c r="D47" s="303"/>
      <c r="E47" s="300"/>
      <c r="F47" s="320"/>
      <c r="G47" s="321">
        <f>IF('入力シート'!$C$43="適用","受けていない。","")</f>
      </c>
      <c r="H47" s="330">
        <f>IF('入力シート'!$C$43="適用",0,"")</f>
      </c>
    </row>
    <row r="48" spans="1:8" ht="20.25" customHeight="1">
      <c r="A48" s="282"/>
      <c r="B48" s="309"/>
      <c r="C48" s="283"/>
      <c r="D48" s="304"/>
      <c r="E48" s="300"/>
      <c r="F48" s="318"/>
      <c r="G48" s="322"/>
      <c r="H48" s="322"/>
    </row>
    <row r="49" spans="1:8" ht="66.75" customHeight="1">
      <c r="A49" s="282"/>
      <c r="B49" s="290" t="s">
        <v>312</v>
      </c>
      <c r="C49" s="290" t="str">
        <f>IF('入力シート'!C44="適用","若手技術者の配置・専任指導技術者の実績（※6）","今回工事ではこの項目を適用しません。")</f>
        <v>今回工事ではこの項目を適用しません。</v>
      </c>
      <c r="D49" s="302" t="str">
        <f>IF('入力シート'!C44="適用","１号","不要")</f>
        <v>不要</v>
      </c>
      <c r="E49" s="292">
        <f>IF('入力シート'!C44="適用","入札公告で定める技術者に若手技術者を配置する場合は「する」と記入した上で、その氏名等を「☆配置予定技術者氏名等記入欄」に１名のみ記入し、証明する書類を添付してください。","")</f>
      </c>
      <c r="F49" s="308">
        <f>IF('入力シート'!C44="適用","監理技術者資格者証の写し及び監理技術者講習修了証の写し。","")</f>
      </c>
      <c r="G49" s="234">
        <f>IF('入力シート'!$C44="適用","入札公告で定める技術者に若手技術者を配置する。なお、専任指導技術者を追加配置する場合、以下①、②についても、該当する評価項目が「適用」である限りにおいて、評価できるものとします。","")</f>
      </c>
      <c r="H49" s="161">
        <f>IF('入力シート'!$C$44="適用",1,"")</f>
      </c>
    </row>
    <row r="50" spans="1:8" ht="36" customHeight="1">
      <c r="A50" s="282"/>
      <c r="B50" s="316"/>
      <c r="C50" s="316"/>
      <c r="D50" s="303"/>
      <c r="E50" s="293"/>
      <c r="F50" s="286"/>
      <c r="G50" s="168">
        <f>IF('入力シート'!$C44="適用","入札公告で定める技術者に若手技術者を配置しない。","")</f>
      </c>
      <c r="H50" s="163">
        <f>IF('入力シート'!$C$44="適用","0","")</f>
      </c>
    </row>
    <row r="51" spans="1:8" ht="73.5" customHeight="1">
      <c r="A51" s="282"/>
      <c r="B51" s="316"/>
      <c r="C51" s="148">
        <f>IF('入力シート'!C44="適用","若手技術者：入札公告で定める技術者で評価の基準日（入札期間の最終日）において満年齢40歳未満の者。","")</f>
      </c>
      <c r="D51" s="303"/>
      <c r="E51" s="294">
        <f>IF(AND('入力シート'!C44="適用",OR('入力シート'!C41="適用",'入力シート'!C42="適用",'入力シート'!C43="適用")),"専任指導技術者を追加配置する場合は、「する」と記入し、その技術者氏名を「☆専任指導技術者氏名記入欄」に記入してください。配置しない場合は「しない」と記入してください。
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51" s="311">
        <f>IF(AND('入力シート'!C44="適用",OR('入力シート'!C41="適用",'入力シート'!C42="適用",'入力シート'!C43="適用")),"専任指導技術者の所有する実績等の申告に関しては、該当する評価項目の「添付資料」に従ってください。","")</f>
      </c>
      <c r="G51" s="146">
        <f>IF('入力シート'!$C44="適用","①評価項目「配置予定技術者の施工経験」・「配置予定技術者の資格」が「適用」であれば、専任指導技術者の所有する実績等でも評価できるものとします。（※9)","")</f>
      </c>
      <c r="H51" s="288">
        <f>IF('入力シート'!$C44="適用","該当する評価項目の配点による","")</f>
      </c>
    </row>
    <row r="52" spans="1:8" ht="80.25" customHeight="1">
      <c r="A52" s="282"/>
      <c r="B52" s="291"/>
      <c r="C52" s="149">
        <f>IF('入力シート'!C44="適用","専任指導技術者：若手技術者を指導補助できる経験豊富な者。入札公告で定める技術者と同じ要件を所有している必要はありません。（※8）","")</f>
      </c>
      <c r="D52" s="304"/>
      <c r="E52" s="293"/>
      <c r="F52" s="286"/>
      <c r="G52" s="144">
        <f>IF('入力シート'!$C44="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52" s="289"/>
    </row>
    <row r="53" spans="1:8" ht="36.75" customHeight="1">
      <c r="A53" s="282"/>
      <c r="B53" s="309" t="s">
        <v>92</v>
      </c>
      <c r="C53" s="309" t="str">
        <f>IF('入力シート'!C45="適用","品質管理マネジメントシステム(ISO9001)の取得の有無","今回工事ではこの項目を適用しません。")</f>
        <v>今回工事ではこの項目を適用しません。</v>
      </c>
      <c r="D53" s="302" t="str">
        <f>IF('入力シート'!C45="適用","１号","不要")</f>
        <v>不要</v>
      </c>
      <c r="E53" s="300">
        <f>IF('入力シート'!C45="適用","評価の基準日（入札期間の最終日）時点で有効なISO9001を横浜市内の事業所を含む範囲で登録している場合に記入してください。またその内容を証明するために右記資料を添付してください。","")</f>
      </c>
      <c r="F53" s="301">
        <f>IF('入力シート'!C45="適用","登録証の写し及び登録範囲が証明できる付属書等の写し","")</f>
      </c>
      <c r="G53" s="151">
        <f>IF('入力シート'!$C$45="適用","ISO9001を横浜市内の事業所を含む範囲で登録している。","")</f>
      </c>
      <c r="H53" s="152">
        <f>IF('入力シート'!$C$45="適用",2,"")</f>
      </c>
    </row>
    <row r="54" spans="1:8" ht="36.75" customHeight="1">
      <c r="A54" s="282"/>
      <c r="B54" s="309"/>
      <c r="C54" s="309"/>
      <c r="D54" s="304"/>
      <c r="E54" s="300"/>
      <c r="F54" s="301"/>
      <c r="G54" s="158">
        <f>IF('入力シート'!$C$45="適用","登録していない。","")</f>
      </c>
      <c r="H54" s="157">
        <f>IF('入力シート'!$C$45="適用",0,"")</f>
      </c>
    </row>
    <row r="55" spans="1:8" ht="29.25" customHeight="1">
      <c r="A55" s="282"/>
      <c r="B55" s="346" t="s">
        <v>305</v>
      </c>
      <c r="C55" s="290" t="str">
        <f>IF('入力シート'!C53="適用","個別に設定","今回工事ではこの項目を適用しません。")</f>
        <v>今回工事ではこの項目を適用しません。</v>
      </c>
      <c r="D55" s="319"/>
      <c r="E55" s="319"/>
      <c r="F55" s="319"/>
      <c r="G55" s="171"/>
      <c r="H55" s="159">
        <f>IF('入力シート'!$C$53="適用",1,"")</f>
      </c>
    </row>
    <row r="56" spans="1:8" ht="29.25" customHeight="1">
      <c r="A56" s="283"/>
      <c r="B56" s="347"/>
      <c r="C56" s="291"/>
      <c r="D56" s="319"/>
      <c r="E56" s="319"/>
      <c r="F56" s="319"/>
      <c r="G56" s="172"/>
      <c r="H56" s="163">
        <f>IF('入力シート'!$C$53="適用",0,"")</f>
      </c>
    </row>
    <row r="57" spans="1:8" ht="57" customHeight="1">
      <c r="A57" s="281" t="s">
        <v>143</v>
      </c>
      <c r="B57" s="309" t="s">
        <v>289</v>
      </c>
      <c r="C57" s="119" t="str">
        <f>IF('入力シート'!C46="適用","建設業の許可における主たる営業所の所在地と工事施工場所の位置関係","今回工事ではこの項目を適用しません。")</f>
        <v>今回工事ではこの項目を適用しません。</v>
      </c>
      <c r="D57" s="302" t="str">
        <f>IF('入力シート'!C46="適用","１号","不要")</f>
        <v>不要</v>
      </c>
      <c r="E57" s="300">
        <f>IF('入力シート'!C46="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57" s="301">
        <f>IF('入力シート'!C46="適用","主たる営業所の所在地を証明する書類（建設業の許可通知書の写し等）","")</f>
      </c>
      <c r="G57" s="151">
        <f>IF('入力シート'!$C$46="適用","工事施工場所と同一行政区内に建設業の許可における主たる営業所がある。","")</f>
      </c>
      <c r="H57" s="152">
        <f>IF('入力シート'!$C$46="適用",2,"")</f>
      </c>
    </row>
    <row r="58" spans="1:8" ht="48" customHeight="1">
      <c r="A58" s="282"/>
      <c r="B58" s="309"/>
      <c r="C58" s="122">
        <f>IF('入力シート'!C46="適用","本項目における工事施工場所："&amp;'入力シート'!E46,"")</f>
      </c>
      <c r="D58" s="304"/>
      <c r="E58" s="300"/>
      <c r="F58" s="301"/>
      <c r="G58" s="158">
        <f>IF('入力シート'!$C$46="適用","上記以外","")</f>
      </c>
      <c r="H58" s="157">
        <f>IF('入力シート'!$C$46="適用",0,"")</f>
      </c>
    </row>
    <row r="59" spans="1:8" ht="40.5" customHeight="1">
      <c r="A59" s="282"/>
      <c r="B59" s="309" t="s">
        <v>290</v>
      </c>
      <c r="C59" s="309" t="str">
        <f>IF('入力シート'!C47="適用","横浜市災害協力事業者名簿登載の有無","今回工事ではこの項目を適用しません。")</f>
        <v>今回工事ではこの項目を適用しません。</v>
      </c>
      <c r="D59" s="302" t="str">
        <f>IF('入力シート'!C47="適用","１号","不要")</f>
        <v>不要</v>
      </c>
      <c r="E59" s="300">
        <f>IF('入力シート'!C47="適用","入札公告日時点における最新の横浜市災害協力事業者名簿の登載の有無を記入してください。","")</f>
      </c>
      <c r="F59" s="317">
        <f>IF('入力シート'!C47="適用","不要","")</f>
      </c>
      <c r="G59" s="151">
        <f>IF('入力シート'!$C47="適用","入札公告日時点における最新の横浜市災害協力事業者名簿に登載がある。","")</f>
      </c>
      <c r="H59" s="152">
        <f>IF('入力シート'!$C47="適用",2,"")</f>
      </c>
    </row>
    <row r="60" spans="1:8" ht="40.5" customHeight="1">
      <c r="A60" s="282"/>
      <c r="B60" s="309"/>
      <c r="C60" s="309"/>
      <c r="D60" s="304"/>
      <c r="E60" s="300"/>
      <c r="F60" s="318"/>
      <c r="G60" s="158">
        <f>IF('入力シート'!$C47="適用","入札公告日時点における最新の横浜市災害協力事業者名簿に登載がない。","")</f>
      </c>
      <c r="H60" s="157">
        <f>IF('入力シート'!$C47="適用",0,"")</f>
      </c>
    </row>
    <row r="61" spans="1:8" ht="42.75" customHeight="1">
      <c r="A61" s="282"/>
      <c r="B61" s="309" t="s">
        <v>291</v>
      </c>
      <c r="C61" s="309" t="str">
        <f>IF('入力シート'!C48="適用","環境マネジメントシステム(ISO14001)の取得の有無","今回工事ではこの項目を適用しません。")</f>
        <v>今回工事ではこの項目を適用しません。</v>
      </c>
      <c r="D61" s="302" t="str">
        <f>IF('入力シート'!C48="適用","１号","不要")</f>
        <v>不要</v>
      </c>
      <c r="E61" s="300">
        <f>IF('入力シート'!C48="適用","評価の基準日（入札期間の最終日）時点で有効なISO14001を横浜市内の事業所を含む範囲で登録している場合に記入してください。またその内容を証明するために右記資料を添付してください。","")</f>
      </c>
      <c r="F61" s="301">
        <f>IF('入力シート'!C48="適用","登録証の写し及び登録範囲が証明できる付属書等の写し","")</f>
      </c>
      <c r="G61" s="151">
        <f>IF('入力シート'!$C$48="適用","ISO14001を横浜市内の事業所を含む範囲で登録している。","")</f>
      </c>
      <c r="H61" s="152">
        <f>IF('入力シート'!$C$48="適用",2,"")</f>
      </c>
    </row>
    <row r="62" spans="1:8" ht="39" customHeight="1">
      <c r="A62" s="282"/>
      <c r="B62" s="309"/>
      <c r="C62" s="309"/>
      <c r="D62" s="304"/>
      <c r="E62" s="300"/>
      <c r="F62" s="301"/>
      <c r="G62" s="158">
        <f>IF('入力シート'!$C$48="適用","登録していない。","")</f>
      </c>
      <c r="H62" s="157">
        <f>IF('入力シート'!$C$48="適用",0,"")</f>
      </c>
    </row>
    <row r="63" spans="1:8" ht="36" customHeight="1">
      <c r="A63" s="282"/>
      <c r="B63" s="290" t="s">
        <v>306</v>
      </c>
      <c r="C63" s="147" t="str">
        <f>IF('入力シート'!C49="適用","本工事における市内中小企業の活用状況（※7）","今回工事ではこの項目を適用しません。")</f>
        <v>今回工事ではこの項目を適用しません。</v>
      </c>
      <c r="D63" s="298" t="str">
        <f>IF('入力シート'!C49="適用","１号","不要")</f>
        <v>不要</v>
      </c>
      <c r="E63" s="292">
        <f>IF('入力シート'!C49="適用","本工事における下請負契約（一次）のうち、市内中小企業への発注割合の目標値を記入してください。なお、労務を伴うもののみを対象とします。","")</f>
      </c>
      <c r="F63" s="295">
        <f>IF('入力シート'!C49="適用","技術資料提出時には不要（工事完成時に発注割合を確認します）。","")</f>
      </c>
      <c r="G63" s="160">
        <f>IF('入力シート'!$C$49="適用","市内中小企業の活用目標値が"&amp;'入力シート'!$E$49&amp;"％以上である。","")</f>
      </c>
      <c r="H63" s="161">
        <f>IF('入力シート'!$C$49="適用",4,"")</f>
      </c>
    </row>
    <row r="64" spans="1:8" ht="36" customHeight="1">
      <c r="A64" s="282"/>
      <c r="B64" s="316"/>
      <c r="C64" s="316">
        <f>IF('入力シート'!C49="適用","市内中小企業：次の①及び②を同時に満たす企業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64" s="315"/>
      <c r="E64" s="294"/>
      <c r="F64" s="296"/>
      <c r="G64" s="155">
        <f>IF('入力シート'!$C$49="適用","市内中小企業の活用目標値が"&amp;'入力シート'!$E$50&amp;"％以上"&amp;'入力シート'!$E$49&amp;"％未満である。","")</f>
      </c>
      <c r="H64" s="156">
        <f>IF('入力シート'!$C$49="適用",2,"")</f>
      </c>
    </row>
    <row r="65" spans="1:8" ht="63.75" customHeight="1">
      <c r="A65" s="282"/>
      <c r="B65" s="291"/>
      <c r="C65" s="291"/>
      <c r="D65" s="299"/>
      <c r="E65" s="144">
        <f>IF('入力シート'!C49="適用","市内中小企業の活用目標値＝［市内中小企業への一次下請金額］÷［一次下請全体額］…小数点以下切捨て","")</f>
      </c>
      <c r="F65" s="297"/>
      <c r="G65" s="162">
        <f>IF('入力シート'!$C$49="適用","市内中小企業の活用目標値が"&amp;'入力シート'!$E$50&amp;"％未満である。又は無記入である。","")</f>
      </c>
      <c r="H65" s="163">
        <f>IF('入力シート'!$C$49="適用",0,"")</f>
      </c>
    </row>
    <row r="66" spans="1:8" ht="40.5" customHeight="1">
      <c r="A66" s="282"/>
      <c r="B66" s="290" t="s">
        <v>292</v>
      </c>
      <c r="C66" s="310" t="str">
        <f>IF('入力シート'!C51="適用","横浜型地域貢献企業の認定状況","今回工事ではこの項目を適用しません。")</f>
        <v>今回工事ではこの項目を適用しません。</v>
      </c>
      <c r="D66" s="298" t="str">
        <f>IF('入力シート'!C51="適用","１号","不要")</f>
        <v>不要</v>
      </c>
      <c r="E66" s="307">
        <f>IF('入力シート'!C51="適用","(公財)横浜企業経営支援財団の横浜型地域貢献企業の認定の有無を記入してください。","")</f>
      </c>
      <c r="F66" s="286">
        <f>IF('入力シート'!C51="適用","入札期間の最終日時点で有効な「横浜型地域貢献企業」認定証の写し（認定証の交付を受ける前においては、横浜型地域貢献企業の認定審査結果に係る通知書の写しでも可）","")</f>
      </c>
      <c r="G66" s="160">
        <f>IF('入力シート'!$C$51="適用","横浜型地域貢献企業に認定されている。","")</f>
      </c>
      <c r="H66" s="161">
        <f>IF('入力シート'!$C$51="適用",1,"")</f>
      </c>
    </row>
    <row r="67" spans="1:8" ht="40.5" customHeight="1">
      <c r="A67" s="282"/>
      <c r="B67" s="291"/>
      <c r="C67" s="310"/>
      <c r="D67" s="299"/>
      <c r="E67" s="307"/>
      <c r="F67" s="287"/>
      <c r="G67" s="162">
        <f>IF('入力シート'!$C$51="適用","認定されていない。","")</f>
      </c>
      <c r="H67" s="163">
        <f>IF('入力シート'!$C$51="適用",0,"")</f>
      </c>
    </row>
    <row r="68" spans="1:8" ht="25.5" customHeight="1">
      <c r="A68" s="282"/>
      <c r="B68" s="290" t="s">
        <v>293</v>
      </c>
      <c r="C68" s="147" t="str">
        <f>IF('入力シート'!C52="適用","建設機械の保有状況","今回工事ではこの項目を適用しません。")</f>
        <v>今回工事ではこの項目を適用しません。</v>
      </c>
      <c r="D68" s="302" t="str">
        <f>IF('入力シート'!C52="適用","１号","不要")</f>
        <v>不要</v>
      </c>
      <c r="E68" s="292">
        <f>IF('入力シート'!C52="適用","評価の基準日（入札期間の最終日）時点で保有している建設機械を1台のみ記入してください。保有していない場合には、記入、添付共に不要です。","")</f>
      </c>
      <c r="F68" s="308">
        <f>IF('入力シート'!C52="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68" s="292">
        <f>IF('入力シート'!$C$52="適用","所有している又は長期（1年以上）の賃貸借契約中である。","")</f>
      </c>
      <c r="H68" s="312">
        <f>IF('入力シート'!$C$52="適用",1,"")</f>
      </c>
    </row>
    <row r="69" spans="1:8" ht="63.75" customHeight="1">
      <c r="A69" s="282"/>
      <c r="B69" s="316"/>
      <c r="C69" s="148">
        <f>IF('入力シート'!C52="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69" s="303"/>
      <c r="E69" s="294"/>
      <c r="F69" s="311"/>
      <c r="G69" s="314"/>
      <c r="H69" s="313"/>
    </row>
    <row r="70" spans="1:8" ht="67.5" customHeight="1">
      <c r="A70" s="282"/>
      <c r="B70" s="291"/>
      <c r="C70" s="149">
        <f>IF('入力シート'!C52="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70" s="304"/>
      <c r="E70" s="293"/>
      <c r="F70" s="286"/>
      <c r="G70" s="162">
        <f>IF('入力シート'!$C$52="適用","上記以外","")</f>
      </c>
      <c r="H70" s="163">
        <f>IF('入力シート'!$C$52="適用",0,"")</f>
      </c>
    </row>
    <row r="71" spans="1:8" ht="32.25" customHeight="1">
      <c r="A71" s="282"/>
      <c r="B71" s="290" t="s">
        <v>288</v>
      </c>
      <c r="C71" s="290" t="str">
        <f>IF('入力シート'!C54="適用","個別に設定","今回工事ではこの項目を適用しません。")</f>
        <v>今回工事ではこの項目を適用しません。</v>
      </c>
      <c r="D71" s="298"/>
      <c r="E71" s="348"/>
      <c r="F71" s="305"/>
      <c r="G71" s="164"/>
      <c r="H71" s="159">
        <f>IF('入力シート'!$C$54="適用",1,"")</f>
      </c>
    </row>
    <row r="72" spans="1:8" ht="32.25" customHeight="1">
      <c r="A72" s="283"/>
      <c r="B72" s="291"/>
      <c r="C72" s="291"/>
      <c r="D72" s="299"/>
      <c r="E72" s="349"/>
      <c r="F72" s="306"/>
      <c r="G72" s="165"/>
      <c r="H72" s="163">
        <f>IF('入力シート'!$C$54="適用",0,"")</f>
      </c>
    </row>
    <row r="73" spans="1:8" ht="12">
      <c r="A73" s="350" t="s">
        <v>93</v>
      </c>
      <c r="B73" s="350"/>
      <c r="C73" s="350"/>
      <c r="D73" s="350"/>
      <c r="E73" s="350"/>
      <c r="F73" s="350"/>
      <c r="G73" s="350"/>
      <c r="H73" s="120">
        <f>SUM(H5,H9,H13,H17,H21,H25,H29,H33,H36,H39,H44,H46,H53,H55,H57,H59,H61,H63,H66,H68,H49,H71)</f>
        <v>20</v>
      </c>
    </row>
    <row r="75" spans="1:8" s="128" customFormat="1" ht="18.75" customHeight="1">
      <c r="A75" s="145" t="s">
        <v>277</v>
      </c>
      <c r="B75" s="284" t="s">
        <v>278</v>
      </c>
      <c r="C75" s="284"/>
      <c r="D75" s="284"/>
      <c r="E75" s="284"/>
      <c r="F75" s="284"/>
      <c r="G75" s="284"/>
      <c r="H75" s="284"/>
    </row>
    <row r="76" spans="1:8" s="128" customFormat="1" ht="18.75" customHeight="1">
      <c r="A76" s="145" t="s">
        <v>200</v>
      </c>
      <c r="B76" s="285" t="s">
        <v>362</v>
      </c>
      <c r="C76" s="285"/>
      <c r="D76" s="285"/>
      <c r="E76" s="285"/>
      <c r="F76" s="285"/>
      <c r="G76" s="285"/>
      <c r="H76" s="285"/>
    </row>
    <row r="77" spans="1:8" s="128" customFormat="1" ht="18.75" customHeight="1">
      <c r="A77" s="145" t="s">
        <v>279</v>
      </c>
      <c r="B77" s="285" t="s">
        <v>280</v>
      </c>
      <c r="C77" s="285"/>
      <c r="D77" s="285"/>
      <c r="E77" s="285"/>
      <c r="F77" s="285"/>
      <c r="G77" s="285"/>
      <c r="H77" s="285"/>
    </row>
    <row r="78" spans="1:8" s="128" customFormat="1" ht="18.75" customHeight="1">
      <c r="A78" s="145" t="s">
        <v>281</v>
      </c>
      <c r="B78" s="284" t="s">
        <v>282</v>
      </c>
      <c r="C78" s="285"/>
      <c r="D78" s="285"/>
      <c r="E78" s="285"/>
      <c r="F78" s="285"/>
      <c r="G78" s="285"/>
      <c r="H78" s="285"/>
    </row>
    <row r="79" spans="1:8" s="128" customFormat="1" ht="18.75" customHeight="1">
      <c r="A79" s="145"/>
      <c r="B79" s="285"/>
      <c r="C79" s="285"/>
      <c r="D79" s="285"/>
      <c r="E79" s="285"/>
      <c r="F79" s="285"/>
      <c r="G79" s="285"/>
      <c r="H79" s="285"/>
    </row>
    <row r="80" spans="1:8" s="128" customFormat="1" ht="9.75" customHeight="1">
      <c r="A80" s="145"/>
      <c r="B80" s="285"/>
      <c r="C80" s="285"/>
      <c r="D80" s="285"/>
      <c r="E80" s="285"/>
      <c r="F80" s="285"/>
      <c r="G80" s="285"/>
      <c r="H80" s="285"/>
    </row>
    <row r="81" spans="1:8" s="128" customFormat="1" ht="18.75" customHeight="1">
      <c r="A81" s="145" t="s">
        <v>283</v>
      </c>
      <c r="B81" s="284" t="s">
        <v>311</v>
      </c>
      <c r="C81" s="284"/>
      <c r="D81" s="284"/>
      <c r="E81" s="284"/>
      <c r="F81" s="284"/>
      <c r="G81" s="284"/>
      <c r="H81" s="284"/>
    </row>
    <row r="82" spans="1:8" s="128" customFormat="1" ht="18.75" customHeight="1">
      <c r="A82" s="145" t="s">
        <v>284</v>
      </c>
      <c r="B82" s="284" t="s">
        <v>285</v>
      </c>
      <c r="C82" s="284"/>
      <c r="D82" s="284"/>
      <c r="E82" s="284"/>
      <c r="F82" s="284"/>
      <c r="G82" s="284"/>
      <c r="H82" s="284"/>
    </row>
    <row r="83" spans="1:8" ht="18.75" customHeight="1">
      <c r="A83" s="145" t="s">
        <v>286</v>
      </c>
      <c r="B83" s="284" t="s">
        <v>313</v>
      </c>
      <c r="C83" s="285"/>
      <c r="D83" s="285"/>
      <c r="E83" s="285"/>
      <c r="F83" s="285"/>
      <c r="G83" s="285"/>
      <c r="H83" s="285"/>
    </row>
    <row r="84" spans="1:8" ht="18.75" customHeight="1">
      <c r="A84" s="145"/>
      <c r="B84" s="285"/>
      <c r="C84" s="285"/>
      <c r="D84" s="285"/>
      <c r="E84" s="285"/>
      <c r="F84" s="285"/>
      <c r="G84" s="285"/>
      <c r="H84" s="285"/>
    </row>
    <row r="85" spans="1:8" ht="18.75" customHeight="1">
      <c r="A85" s="145" t="s">
        <v>308</v>
      </c>
      <c r="B85" s="284" t="s">
        <v>360</v>
      </c>
      <c r="C85" s="284"/>
      <c r="D85" s="284"/>
      <c r="E85" s="284"/>
      <c r="F85" s="284"/>
      <c r="G85" s="284"/>
      <c r="H85" s="284"/>
    </row>
    <row r="86" spans="1:8" ht="18.75" customHeight="1">
      <c r="A86" s="145"/>
      <c r="B86" s="284"/>
      <c r="C86" s="284"/>
      <c r="D86" s="284"/>
      <c r="E86" s="284"/>
      <c r="F86" s="284"/>
      <c r="G86" s="284"/>
      <c r="H86" s="284"/>
    </row>
    <row r="87" spans="1:8" ht="18.75" customHeight="1">
      <c r="A87" s="145"/>
      <c r="B87" s="284"/>
      <c r="C87" s="284"/>
      <c r="D87" s="284"/>
      <c r="E87" s="284"/>
      <c r="F87" s="284"/>
      <c r="G87" s="284"/>
      <c r="H87" s="284"/>
    </row>
    <row r="88" spans="1:8" ht="18.75" customHeight="1">
      <c r="A88" s="145" t="s">
        <v>310</v>
      </c>
      <c r="B88" s="284" t="s">
        <v>327</v>
      </c>
      <c r="C88" s="284"/>
      <c r="D88" s="284"/>
      <c r="E88" s="284"/>
      <c r="F88" s="284"/>
      <c r="G88" s="284"/>
      <c r="H88" s="284"/>
    </row>
  </sheetData>
  <sheetProtection password="E7B6" sheet="1" formatCells="0" formatRows="0" insertRows="0"/>
  <mergeCells count="136">
    <mergeCell ref="B83:H84"/>
    <mergeCell ref="B85:H87"/>
    <mergeCell ref="B55:B56"/>
    <mergeCell ref="C55:C56"/>
    <mergeCell ref="D55:D56"/>
    <mergeCell ref="E71:E72"/>
    <mergeCell ref="D66:D67"/>
    <mergeCell ref="B68:B70"/>
    <mergeCell ref="B81:H81"/>
    <mergeCell ref="A73:G73"/>
    <mergeCell ref="A1:H1"/>
    <mergeCell ref="A2:H2"/>
    <mergeCell ref="A5:A28"/>
    <mergeCell ref="B5:B8"/>
    <mergeCell ref="C5:C8"/>
    <mergeCell ref="D5:D8"/>
    <mergeCell ref="E5:E8"/>
    <mergeCell ref="F5:F8"/>
    <mergeCell ref="B9:B12"/>
    <mergeCell ref="C9:C12"/>
    <mergeCell ref="F21:F24"/>
    <mergeCell ref="D9:D12"/>
    <mergeCell ref="E9:E12"/>
    <mergeCell ref="F9:F12"/>
    <mergeCell ref="B13:B16"/>
    <mergeCell ref="C13:C16"/>
    <mergeCell ref="D13:D16"/>
    <mergeCell ref="E13:E16"/>
    <mergeCell ref="F13:F16"/>
    <mergeCell ref="E25:E28"/>
    <mergeCell ref="F17:F20"/>
    <mergeCell ref="B17:B20"/>
    <mergeCell ref="C17:C20"/>
    <mergeCell ref="D17:D20"/>
    <mergeCell ref="E17:E20"/>
    <mergeCell ref="B21:B24"/>
    <mergeCell ref="C21:C24"/>
    <mergeCell ref="D21:D24"/>
    <mergeCell ref="E21:E24"/>
    <mergeCell ref="H39:H40"/>
    <mergeCell ref="F25:F28"/>
    <mergeCell ref="C37:C38"/>
    <mergeCell ref="B36:B38"/>
    <mergeCell ref="D36:D38"/>
    <mergeCell ref="D44:D45"/>
    <mergeCell ref="E44:E45"/>
    <mergeCell ref="B25:B28"/>
    <mergeCell ref="C25:C28"/>
    <mergeCell ref="D25:D28"/>
    <mergeCell ref="B33:B35"/>
    <mergeCell ref="E39:E43"/>
    <mergeCell ref="G42:G43"/>
    <mergeCell ref="D33:D35"/>
    <mergeCell ref="H42:H43"/>
    <mergeCell ref="G39:G40"/>
    <mergeCell ref="E36:E38"/>
    <mergeCell ref="F36:F38"/>
    <mergeCell ref="B39:B43"/>
    <mergeCell ref="C39:C40"/>
    <mergeCell ref="H29:H30"/>
    <mergeCell ref="F30:F32"/>
    <mergeCell ref="F40:F41"/>
    <mergeCell ref="H47:H48"/>
    <mergeCell ref="F44:F45"/>
    <mergeCell ref="B29:B32"/>
    <mergeCell ref="D29:D32"/>
    <mergeCell ref="E29:E32"/>
    <mergeCell ref="G29:G30"/>
    <mergeCell ref="C30:C32"/>
    <mergeCell ref="E46:E48"/>
    <mergeCell ref="F46:F48"/>
    <mergeCell ref="G47:G48"/>
    <mergeCell ref="C47:C48"/>
    <mergeCell ref="E33:E35"/>
    <mergeCell ref="F33:F35"/>
    <mergeCell ref="D39:D43"/>
    <mergeCell ref="C41:C43"/>
    <mergeCell ref="B44:B45"/>
    <mergeCell ref="C44:C45"/>
    <mergeCell ref="B49:B52"/>
    <mergeCell ref="B53:B54"/>
    <mergeCell ref="C53:C54"/>
    <mergeCell ref="D53:D54"/>
    <mergeCell ref="C49:C50"/>
    <mergeCell ref="D49:D52"/>
    <mergeCell ref="B46:B48"/>
    <mergeCell ref="D46:D48"/>
    <mergeCell ref="F53:F54"/>
    <mergeCell ref="B78:H80"/>
    <mergeCell ref="E68:E70"/>
    <mergeCell ref="F68:F70"/>
    <mergeCell ref="B75:H75"/>
    <mergeCell ref="F55:F56"/>
    <mergeCell ref="E55:E56"/>
    <mergeCell ref="B59:B60"/>
    <mergeCell ref="B71:B72"/>
    <mergeCell ref="B63:B65"/>
    <mergeCell ref="A57:A72"/>
    <mergeCell ref="B61:B62"/>
    <mergeCell ref="E57:E58"/>
    <mergeCell ref="H68:H69"/>
    <mergeCell ref="G68:G69"/>
    <mergeCell ref="B57:B58"/>
    <mergeCell ref="D63:D65"/>
    <mergeCell ref="C64:C65"/>
    <mergeCell ref="D59:D60"/>
    <mergeCell ref="F59:F60"/>
    <mergeCell ref="F49:F50"/>
    <mergeCell ref="C61:C62"/>
    <mergeCell ref="D61:D62"/>
    <mergeCell ref="D57:D58"/>
    <mergeCell ref="C66:C67"/>
    <mergeCell ref="F51:F52"/>
    <mergeCell ref="F57:F58"/>
    <mergeCell ref="C59:C60"/>
    <mergeCell ref="E59:E60"/>
    <mergeCell ref="E53:E54"/>
    <mergeCell ref="F63:F65"/>
    <mergeCell ref="C71:C72"/>
    <mergeCell ref="D71:D72"/>
    <mergeCell ref="E63:E64"/>
    <mergeCell ref="E61:E62"/>
    <mergeCell ref="F61:F62"/>
    <mergeCell ref="D68:D70"/>
    <mergeCell ref="F71:F72"/>
    <mergeCell ref="E66:E67"/>
    <mergeCell ref="A29:A56"/>
    <mergeCell ref="B88:H88"/>
    <mergeCell ref="B76:H76"/>
    <mergeCell ref="B77:H77"/>
    <mergeCell ref="F66:F67"/>
    <mergeCell ref="H51:H52"/>
    <mergeCell ref="B82:H82"/>
    <mergeCell ref="B66:B67"/>
    <mergeCell ref="E49:E50"/>
    <mergeCell ref="E51:E52"/>
  </mergeCells>
  <printOptions/>
  <pageMargins left="0.48" right="0.21" top="0.3937007874015748" bottom="0.35433070866141736" header="0.2755905511811024" footer="0.2755905511811024"/>
  <pageSetup fitToHeight="0" fitToWidth="1" horizontalDpi="600" verticalDpi="600" orientation="landscape" paperSize="9" scale="86" r:id="rId1"/>
  <rowBreaks count="5" manualBreakCount="5">
    <brk id="20" max="7" man="1"/>
    <brk id="32" max="255" man="1"/>
    <brk id="43" max="255" man="1"/>
    <brk id="56" max="7" man="1"/>
    <brk id="67" max="7" man="1"/>
  </rowBreaks>
</worksheet>
</file>

<file path=xl/worksheets/sheet5.xml><?xml version="1.0" encoding="utf-8"?>
<worksheet xmlns="http://schemas.openxmlformats.org/spreadsheetml/2006/main" xmlns:r="http://schemas.openxmlformats.org/officeDocument/2006/relationships">
  <dimension ref="A1:N102"/>
  <sheetViews>
    <sheetView view="pageBreakPreview" zoomScale="115" zoomScaleSheetLayoutView="115" zoomScalePageLayoutView="0" workbookViewId="0" topLeftCell="A1">
      <selection activeCell="A1" sqref="A1"/>
    </sheetView>
  </sheetViews>
  <sheetFormatPr defaultColWidth="9.00390625" defaultRowHeight="13.5"/>
  <cols>
    <col min="1" max="1" width="14.625" style="23" customWidth="1"/>
    <col min="2" max="2" width="7.00390625" style="23" customWidth="1"/>
    <col min="3" max="3" width="16.625" style="23" customWidth="1"/>
    <col min="4" max="4" width="11.625" style="23" customWidth="1"/>
    <col min="5" max="5" width="37.50390625" style="23" customWidth="1"/>
    <col min="6" max="6" width="37.125" style="23" customWidth="1"/>
    <col min="7" max="7" width="3.75390625" style="23" customWidth="1"/>
    <col min="8" max="16384" width="9.00390625" style="23" customWidth="1"/>
  </cols>
  <sheetData>
    <row r="1" ht="13.5">
      <c r="F1" s="24" t="s">
        <v>100</v>
      </c>
    </row>
    <row r="2" spans="1:6" ht="13.5">
      <c r="A2" s="23" t="s">
        <v>20</v>
      </c>
      <c r="F2" s="43" t="str">
        <f>'入力シート'!E6</f>
        <v>平成○○年○○月○○日</v>
      </c>
    </row>
    <row r="3" ht="13.5">
      <c r="A3" s="23" t="s">
        <v>62</v>
      </c>
    </row>
    <row r="4" ht="13.5">
      <c r="A4" s="23" t="s">
        <v>63</v>
      </c>
    </row>
    <row r="5" ht="9.75" customHeight="1"/>
    <row r="6" spans="4:6" ht="13.5">
      <c r="D6" s="381" t="s">
        <v>18</v>
      </c>
      <c r="E6" s="381"/>
      <c r="F6" s="23" t="str">
        <f>'入力シート'!E11</f>
        <v>○○・□□建設共同企業体</v>
      </c>
    </row>
    <row r="7" spans="4:6" ht="13.5">
      <c r="D7" s="381" t="s">
        <v>140</v>
      </c>
      <c r="E7" s="381"/>
      <c r="F7" s="97">
        <f>'入力シート'!E12</f>
        <v>56789</v>
      </c>
    </row>
    <row r="8" spans="4:6" ht="18" customHeight="1">
      <c r="D8" s="382" t="s">
        <v>112</v>
      </c>
      <c r="E8" s="25" t="s">
        <v>17</v>
      </c>
      <c r="F8" s="25" t="str">
        <f>'入力シート'!E9</f>
        <v>横浜市○区○○町○丁目○－○</v>
      </c>
    </row>
    <row r="9" spans="4:6" ht="18" customHeight="1">
      <c r="D9" s="382"/>
      <c r="E9" s="25" t="s">
        <v>16</v>
      </c>
      <c r="F9" s="25" t="str">
        <f>'入力シート'!E7</f>
        <v>株式会社○○○○○○</v>
      </c>
    </row>
    <row r="10" spans="4:6" ht="18" customHeight="1">
      <c r="D10" s="382"/>
      <c r="E10" s="25" t="s">
        <v>15</v>
      </c>
      <c r="F10" s="26" t="str">
        <f>'入力シート'!E10</f>
        <v>代表取締役　○○　○○</v>
      </c>
    </row>
    <row r="11" spans="4:6" ht="13.5">
      <c r="D11" s="382"/>
      <c r="E11" s="25" t="s">
        <v>37</v>
      </c>
      <c r="F11" s="97">
        <f>'入力シート'!E8</f>
        <v>12345</v>
      </c>
    </row>
    <row r="12" ht="8.25" customHeight="1"/>
    <row r="13" spans="1:6" ht="18" customHeight="1">
      <c r="A13" s="404" t="s">
        <v>130</v>
      </c>
      <c r="B13" s="404"/>
      <c r="C13" s="404"/>
      <c r="D13" s="404"/>
      <c r="E13" s="404"/>
      <c r="F13" s="404"/>
    </row>
    <row r="14" ht="7.5" customHeight="1"/>
    <row r="15" ht="13.5">
      <c r="A15" s="23" t="s">
        <v>113</v>
      </c>
    </row>
    <row r="16" spans="1:5" ht="13.5">
      <c r="A16" s="27"/>
      <c r="B16" s="25"/>
      <c r="C16" s="25"/>
      <c r="D16" s="25"/>
      <c r="E16" s="25"/>
    </row>
    <row r="17" spans="1:6" s="33" customFormat="1" ht="13.5">
      <c r="A17" s="30" t="s">
        <v>3</v>
      </c>
      <c r="B17" s="31" t="str">
        <f>'入力シート'!E19</f>
        <v>高速横浜環状北西線（下谷本地区）地盤改良工事（その２）</v>
      </c>
      <c r="C17" s="31"/>
      <c r="D17" s="31"/>
      <c r="E17" s="32"/>
      <c r="F17" s="32"/>
    </row>
    <row r="18" spans="1:5" s="33" customFormat="1" ht="13.5">
      <c r="A18" s="34"/>
      <c r="B18" s="35"/>
      <c r="C18" s="34"/>
      <c r="D18" s="34"/>
      <c r="E18" s="35"/>
    </row>
    <row r="19" spans="1:6" s="33" customFormat="1" ht="16.5" customHeight="1">
      <c r="A19" s="375" t="s">
        <v>361</v>
      </c>
      <c r="B19" s="375"/>
      <c r="C19" s="375"/>
      <c r="D19" s="375"/>
      <c r="E19" s="375"/>
      <c r="F19" s="375"/>
    </row>
    <row r="20" spans="1:5" s="33" customFormat="1" ht="13.5">
      <c r="A20" s="352" t="s">
        <v>0</v>
      </c>
      <c r="B20" s="353"/>
      <c r="C20" s="353"/>
      <c r="D20" s="215" t="s">
        <v>111</v>
      </c>
      <c r="E20" s="216" t="s">
        <v>116</v>
      </c>
    </row>
    <row r="21" spans="1:5" s="33" customFormat="1" ht="22.5" customHeight="1">
      <c r="A21" s="351" t="s">
        <v>4</v>
      </c>
      <c r="B21" s="351"/>
      <c r="C21" s="351"/>
      <c r="D21" s="36" t="str">
        <f>'入力シート'!C32</f>
        <v>不適用</v>
      </c>
      <c r="E21" s="36" t="str">
        <f>IF('入力シート'!C32="適用","第２号","---")</f>
        <v>---</v>
      </c>
    </row>
    <row r="22" spans="1:5" s="33" customFormat="1" ht="22.5" customHeight="1">
      <c r="A22" s="351" t="s">
        <v>5</v>
      </c>
      <c r="B22" s="351"/>
      <c r="C22" s="351"/>
      <c r="D22" s="36" t="str">
        <f>'入力シート'!C33</f>
        <v>適用</v>
      </c>
      <c r="E22" s="36" t="str">
        <f>IF('入力シート'!C33="適用","第３号","---")</f>
        <v>第３号</v>
      </c>
    </row>
    <row r="23" spans="1:5" s="33" customFormat="1" ht="22.5" customHeight="1">
      <c r="A23" s="351" t="s">
        <v>6</v>
      </c>
      <c r="B23" s="351"/>
      <c r="C23" s="351"/>
      <c r="D23" s="36" t="str">
        <f>'入力シート'!C34</f>
        <v>不適用</v>
      </c>
      <c r="E23" s="36" t="str">
        <f>IF('入力シート'!C34="適用","第４号","---")</f>
        <v>---</v>
      </c>
    </row>
    <row r="24" spans="1:5" s="33" customFormat="1" ht="22.5" customHeight="1">
      <c r="A24" s="351" t="s">
        <v>7</v>
      </c>
      <c r="B24" s="351"/>
      <c r="C24" s="351"/>
      <c r="D24" s="36" t="str">
        <f>'入力シート'!C35</f>
        <v>適用</v>
      </c>
      <c r="E24" s="36" t="str">
        <f>IF('入力シート'!C35="適用","第５号","---")</f>
        <v>第５号</v>
      </c>
    </row>
    <row r="25" spans="1:5" s="33" customFormat="1" ht="22.5" customHeight="1">
      <c r="A25" s="351" t="s">
        <v>8</v>
      </c>
      <c r="B25" s="351"/>
      <c r="C25" s="351"/>
      <c r="D25" s="36" t="str">
        <f>'入力シート'!C36</f>
        <v>不適用</v>
      </c>
      <c r="E25" s="36" t="str">
        <f>IF('入力シート'!C36="適用","第６号","---")</f>
        <v>---</v>
      </c>
    </row>
    <row r="26" spans="1:5" s="33" customFormat="1" ht="22.5" customHeight="1">
      <c r="A26" s="351" t="s">
        <v>9</v>
      </c>
      <c r="B26" s="351"/>
      <c r="C26" s="351"/>
      <c r="D26" s="36" t="str">
        <f>'入力シート'!C37</f>
        <v>不適用</v>
      </c>
      <c r="E26" s="36" t="str">
        <f>IF('入力シート'!C37="適用","第７号","---")</f>
        <v>---</v>
      </c>
    </row>
    <row r="27" spans="1:4" s="33" customFormat="1" ht="3.75" customHeight="1">
      <c r="A27" s="37"/>
      <c r="B27" s="34"/>
      <c r="C27" s="34"/>
      <c r="D27" s="34"/>
    </row>
    <row r="28" spans="1:5" s="33" customFormat="1" ht="3.75" customHeight="1">
      <c r="A28" s="37"/>
      <c r="B28" s="34"/>
      <c r="C28" s="34"/>
      <c r="D28" s="34"/>
      <c r="E28" s="35"/>
    </row>
    <row r="29" spans="1:6" s="130" customFormat="1" ht="17.25" customHeight="1">
      <c r="A29" s="226"/>
      <c r="B29" s="226"/>
      <c r="C29" s="226"/>
      <c r="D29" s="226"/>
      <c r="E29" s="226"/>
      <c r="F29" s="226"/>
    </row>
    <row r="30" spans="1:6" s="130" customFormat="1" ht="15.75" customHeight="1">
      <c r="A30" s="375" t="s">
        <v>348</v>
      </c>
      <c r="B30" s="375"/>
      <c r="C30" s="375"/>
      <c r="D30" s="375"/>
      <c r="E30" s="375"/>
      <c r="F30" s="375"/>
    </row>
    <row r="31" spans="1:6" s="33" customFormat="1" ht="17.25" customHeight="1">
      <c r="A31" s="218" t="s">
        <v>0</v>
      </c>
      <c r="B31" s="219" t="s">
        <v>111</v>
      </c>
      <c r="C31" s="376" t="s">
        <v>114</v>
      </c>
      <c r="D31" s="376"/>
      <c r="E31" s="376"/>
      <c r="F31" s="217" t="s">
        <v>344</v>
      </c>
    </row>
    <row r="32" spans="1:6" s="33" customFormat="1" ht="27.75" customHeight="1">
      <c r="A32" s="395" t="s">
        <v>10</v>
      </c>
      <c r="B32" s="377" t="str">
        <f>'入力シート'!C38</f>
        <v>適用</v>
      </c>
      <c r="C32" s="38" t="str">
        <f>IF('入力シート'!$C$38="適用","同種工事","")</f>
        <v>同種工事</v>
      </c>
      <c r="D32" s="362" t="str">
        <f>IF('入力シート'!$C$38="適用",'入力シート'!E38,"")</f>
        <v>地盤改良工事</v>
      </c>
      <c r="E32" s="363"/>
      <c r="F32" s="224" t="str">
        <f>IF('入力シート'!$C$38="適用","変更不可","")</f>
        <v>変更不可</v>
      </c>
    </row>
    <row r="33" spans="1:6" s="33" customFormat="1" ht="22.5" customHeight="1">
      <c r="A33" s="405"/>
      <c r="B33" s="377"/>
      <c r="C33" s="38" t="str">
        <f>IF('入力シート'!$C$38="適用","工事名","")</f>
        <v>工事名</v>
      </c>
      <c r="D33" s="371"/>
      <c r="E33" s="372"/>
      <c r="F33" s="392" t="str">
        <f>IF('入力シート'!$C$38="適用","添付資料欄には「同種工事」の施工実績を証明するために添付する資料名を記入してください。添付資料の内容と相違を生じないように工事名、契約金額を記入してください。","")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34" spans="1:6" s="33" customFormat="1" ht="22.5" customHeight="1">
      <c r="A34" s="405"/>
      <c r="B34" s="377"/>
      <c r="C34" s="199" t="str">
        <f>IF('入力シート'!$C$38="適用","契約金額(税込み)","")</f>
        <v>契約金額(税込み)</v>
      </c>
      <c r="D34" s="371"/>
      <c r="E34" s="372"/>
      <c r="F34" s="393"/>
    </row>
    <row r="35" spans="1:6" s="33" customFormat="1" ht="33.75" customHeight="1">
      <c r="A35" s="396"/>
      <c r="B35" s="377"/>
      <c r="C35" s="38" t="str">
        <f>IF('入力シート'!$C$38="適用","添付資料","")</f>
        <v>添付資料</v>
      </c>
      <c r="D35" s="387"/>
      <c r="E35" s="388"/>
      <c r="F35" s="394"/>
    </row>
    <row r="36" spans="1:6" s="33" customFormat="1" ht="22.5" customHeight="1">
      <c r="A36" s="395" t="s">
        <v>75</v>
      </c>
      <c r="B36" s="378" t="str">
        <f>'入力シート'!C39</f>
        <v>不適用</v>
      </c>
      <c r="C36" s="38">
        <f>IF('入力シート'!$C$39="適用","同一登録工種","")</f>
      </c>
      <c r="D36" s="362">
        <f>IF('入力シート'!$C$39="適用",'入力シート'!E39,"")</f>
      </c>
      <c r="E36" s="363"/>
      <c r="F36" s="224">
        <f>IF('入力シート'!$C$39="適用","変更不可","")</f>
      </c>
    </row>
    <row r="37" spans="1:6" s="33" customFormat="1" ht="23.25" customHeight="1">
      <c r="A37" s="405"/>
      <c r="B37" s="379"/>
      <c r="C37" s="198">
        <f>IF('入力シート'!$C$39="適用","評価申請（工事１）","")</f>
      </c>
      <c r="D37" s="210"/>
      <c r="E37" s="385">
        <f>IF('入力シート'!$C$39="適用","［する、しない］　のどちらかを記入してください。工事件名は記入不要です。","")</f>
      </c>
      <c r="F37" s="386"/>
    </row>
    <row r="38" spans="1:6" s="33" customFormat="1" ht="22.5" customHeight="1">
      <c r="A38" s="405"/>
      <c r="B38" s="379"/>
      <c r="C38" s="38">
        <f>IF('入力シート'!$C$39="適用","添付資料","")</f>
      </c>
      <c r="D38" s="364">
        <f>IF('入力シート'!$C$39="適用","工事１の工事完成検査結果通知書の写し","")</f>
      </c>
      <c r="E38" s="365"/>
      <c r="F38" s="224">
        <f>IF('入力シート'!$C$39="適用","変更不可","")</f>
      </c>
    </row>
    <row r="39" spans="1:6" s="33" customFormat="1" ht="21.75" customHeight="1">
      <c r="A39" s="405"/>
      <c r="B39" s="379"/>
      <c r="C39" s="198">
        <f>IF('入力シート'!$C$39="適用","評価申請（工事２）","")</f>
      </c>
      <c r="D39" s="212"/>
      <c r="E39" s="391">
        <f>IF('入力シート'!$C$39="適用","［する、しない］　のどちらかを記入してください。工事件名は記入不要です。","")</f>
      </c>
      <c r="F39" s="386"/>
    </row>
    <row r="40" spans="1:6" s="33" customFormat="1" ht="19.5" customHeight="1">
      <c r="A40" s="396"/>
      <c r="B40" s="380"/>
      <c r="C40" s="38">
        <f>IF('入力シート'!$C$39="適用","添付資料","")</f>
      </c>
      <c r="D40" s="364">
        <f>IF('入力シート'!$C$39="適用","工事２の工事完成検査結果通知書の写し","")</f>
      </c>
      <c r="E40" s="365"/>
      <c r="F40" s="224">
        <f>IF('入力シート'!$C$39="適用","変更不可","")</f>
      </c>
    </row>
    <row r="41" spans="1:6" s="33" customFormat="1" ht="22.5" customHeight="1">
      <c r="A41" s="395" t="s">
        <v>163</v>
      </c>
      <c r="B41" s="378" t="str">
        <f>'入力シート'!C40</f>
        <v>不適用</v>
      </c>
      <c r="C41" s="38">
        <f>IF('入力シート'!$C$40="適用","部門","")</f>
      </c>
      <c r="D41" s="364">
        <f>IF('入力シート'!$C$40="適用",'入力シート'!E40,"")</f>
      </c>
      <c r="E41" s="365"/>
      <c r="F41" s="224">
        <f>IF('入力シート'!$C$40="適用","変更不可","")</f>
      </c>
    </row>
    <row r="42" spans="1:6" s="33" customFormat="1" ht="22.5" customHeight="1">
      <c r="A42" s="405"/>
      <c r="B42" s="379"/>
      <c r="C42" s="383">
        <f>IF('入力シート'!$C$40="適用","表彰年度","")</f>
      </c>
      <c r="D42" s="38">
        <f>IF('入力シート'!$C$40="適用","表彰１","")</f>
      </c>
      <c r="E42" s="213"/>
      <c r="F42" s="194"/>
    </row>
    <row r="43" spans="1:6" s="33" customFormat="1" ht="22.5" customHeight="1">
      <c r="A43" s="396"/>
      <c r="B43" s="380"/>
      <c r="C43" s="384"/>
      <c r="D43" s="38">
        <f>IF('入力シート'!$C$40="適用","表彰２","")</f>
      </c>
      <c r="E43" s="213"/>
      <c r="F43" s="195"/>
    </row>
    <row r="44" spans="1:6" s="33" customFormat="1" ht="27.75" customHeight="1">
      <c r="A44" s="395" t="s">
        <v>125</v>
      </c>
      <c r="B44" s="378" t="str">
        <f>'入力シート'!C41</f>
        <v>適用</v>
      </c>
      <c r="C44" s="38" t="str">
        <f>IF('入力シート'!$C$41="適用","同種工事","")</f>
        <v>同種工事</v>
      </c>
      <c r="D44" s="362" t="str">
        <f>IF('入力シート'!$C$41="適用",'入力シート'!E41,"")</f>
        <v>地盤改良工事</v>
      </c>
      <c r="E44" s="363"/>
      <c r="F44" s="227" t="str">
        <f>IF('入力シート'!$C$41="適用","変更不可","")</f>
        <v>変更不可</v>
      </c>
    </row>
    <row r="45" spans="1:6" s="33" customFormat="1" ht="27.75" customHeight="1">
      <c r="A45" s="405"/>
      <c r="B45" s="379"/>
      <c r="C45" s="38" t="str">
        <f>IF('入力シート'!$C$41="適用","技術者氏名","")</f>
        <v>技術者氏名</v>
      </c>
      <c r="D45" s="411">
        <f>C82</f>
        <v>0</v>
      </c>
      <c r="E45" s="412"/>
      <c r="F45" s="228" t="str">
        <f>IF('入力シート'!$C$41="適用","評価を希望する場合は「☆配置予定技術者氏名等記入欄」に氏名を記入してください。","")</f>
        <v>評価を希望する場合は「☆配置予定技術者氏名等記入欄」に氏名を記入してください。</v>
      </c>
    </row>
    <row r="46" spans="1:6" s="33" customFormat="1" ht="34.5" customHeight="1">
      <c r="A46" s="405"/>
      <c r="B46" s="379"/>
      <c r="C46" s="38" t="str">
        <f>IF('入力シート'!$C$41="適用","工事名","")</f>
        <v>工事名</v>
      </c>
      <c r="D46" s="409"/>
      <c r="E46" s="410"/>
      <c r="F46" s="402" t="str">
        <f>IF('入力シート'!$C$41="適用","添付資料欄には「同種工事」の施工経験を証明するために添付する資料名を記入してください。添付資料の内容と相違を生じないように工事名、契約金額を記入してください。","")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47" spans="1:6" s="33" customFormat="1" ht="22.5" customHeight="1">
      <c r="A47" s="405"/>
      <c r="B47" s="379"/>
      <c r="C47" s="202" t="str">
        <f>IF('入力シート'!$C$41="適用","契約金額(税込み)","")</f>
        <v>契約金額(税込み)</v>
      </c>
      <c r="D47" s="409"/>
      <c r="E47" s="410"/>
      <c r="F47" s="403"/>
    </row>
    <row r="48" spans="1:6" s="33" customFormat="1" ht="51.75" customHeight="1">
      <c r="A48" s="405"/>
      <c r="B48" s="379"/>
      <c r="C48" s="202" t="str">
        <f>IF('入力シート'!$C$41="適用","添付資料","")</f>
        <v>添付資料</v>
      </c>
      <c r="D48" s="409"/>
      <c r="E48" s="410"/>
      <c r="F48" s="222">
        <f>IF(AND('入力シート'!$C$41="適用",'入力シート'!$C$44="適用"),"専任指導技術者の所有する施工経験を記入することができます。その場合、「☆専任指導技術者氏名記入欄」に氏名を記入した上で、下欄に「する」と記入してください。","")</f>
      </c>
    </row>
    <row r="49" spans="1:6" s="33" customFormat="1" ht="51.75" customHeight="1">
      <c r="A49" s="405"/>
      <c r="B49" s="379"/>
      <c r="C49" s="178" t="str">
        <f>IF('入力シート'!$C$41="適用","専任指導技術者での評価","")</f>
        <v>専任指導技術者での評価</v>
      </c>
      <c r="D49" s="212"/>
      <c r="E49" s="366" t="str">
        <f>IF('入力シート'!$C$41="不適用","",IF(AND('入力シート'!$C$41="適用",'入力シート'!$C$44="適用"),"専任指導技術者の所有する施工経験での評価を申請［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9" s="367"/>
    </row>
    <row r="50" spans="1:6" s="33" customFormat="1" ht="40.5" customHeight="1">
      <c r="A50" s="396"/>
      <c r="B50" s="380"/>
      <c r="C50" s="223" t="str">
        <f>IF('入力シート'!$C$41="適用","専任指導技術者氏名","")</f>
        <v>専任指導技術者氏名</v>
      </c>
      <c r="D50" s="36">
        <f>IF('入力シート'!$C$41="適用",IF(D49="する",D63,""),"")</f>
      </c>
      <c r="E50" s="362">
        <f>IF(AND('入力シート'!$C$41="適用",'入力シート'!$C$44="適用"),"専任指導技術者の実績で評価を希望する場合は評価項目「若手技術者の育成」にて「専任指導技術者の追加配置」を「する」にしてください。","")</f>
      </c>
      <c r="F50" s="363"/>
    </row>
    <row r="51" spans="1:6" s="33" customFormat="1" ht="36" customHeight="1">
      <c r="A51" s="395" t="s">
        <v>129</v>
      </c>
      <c r="B51" s="378" t="str">
        <f>'入力シート'!C42</f>
        <v>不適用</v>
      </c>
      <c r="C51" s="201">
        <f>IF('入力シート'!$C$42="適用","主任技術者の配置が必要な工事に監理技術者を配置する","")</f>
      </c>
      <c r="D51" s="221"/>
      <c r="E51" s="373">
        <f>IF('入力シート'!$C$42="適用","［する、しない］　のどちらかを記入してください。「する」の場合、「☆配置予定技術者氏名等記入欄」にその者の氏名を記入してください。","")</f>
      </c>
      <c r="F51" s="374"/>
    </row>
    <row r="52" spans="1:6" s="33" customFormat="1" ht="36" customHeight="1">
      <c r="A52" s="405"/>
      <c r="B52" s="379"/>
      <c r="C52" s="178">
        <f>IF('入力シート'!$C$42="適用","技術者氏名","")</f>
      </c>
      <c r="D52" s="413">
        <f>IF('入力シート'!$C$42="適用",IF(D51="する",C82,""),"")</f>
      </c>
      <c r="E52" s="414"/>
      <c r="F52" s="229">
        <f>IF('入力シート'!$C$42="適用","評価を希望する場合は「☆配置予定技術者氏名等記入欄」に氏名を記入してください。","")</f>
      </c>
    </row>
    <row r="53" spans="1:6" s="33" customFormat="1" ht="21" customHeight="1">
      <c r="A53" s="396"/>
      <c r="B53" s="380"/>
      <c r="C53" s="38">
        <f>IF('入力シート'!$C$42="適用","添付資料","")</f>
      </c>
      <c r="D53" s="358">
        <f>IF('入力シート'!$C$42="適用","監理技術者証及び監理技術者講習修了証の写し","")</f>
      </c>
      <c r="E53" s="359"/>
      <c r="F53" s="224">
        <f>IF('入力シート'!$C$42="適用","変更不可","")</f>
      </c>
    </row>
    <row r="54" spans="1:6" s="33" customFormat="1" ht="15" customHeight="1">
      <c r="A54" s="406" t="s">
        <v>165</v>
      </c>
      <c r="B54" s="378" t="str">
        <f>'入力シート'!C43</f>
        <v>不適用</v>
      </c>
      <c r="C54" s="38">
        <f>IF('入力シート'!$C$43="適用","部門","")</f>
      </c>
      <c r="D54" s="358">
        <f>IF('入力シート'!$C$43="適用",'入力シート'!E43,"")</f>
      </c>
      <c r="E54" s="359"/>
      <c r="F54" s="224">
        <f>IF('入力シート'!$C$43="適用","変更不可","")</f>
      </c>
    </row>
    <row r="55" spans="1:6" s="33" customFormat="1" ht="23.25" customHeight="1">
      <c r="A55" s="407"/>
      <c r="B55" s="379"/>
      <c r="C55" s="38">
        <f>IF('入力シート'!$C$43="適用","表彰年度","")</f>
      </c>
      <c r="D55" s="209"/>
      <c r="E55" s="360"/>
      <c r="F55" s="361"/>
    </row>
    <row r="56" spans="1:6" s="33" customFormat="1" ht="21" customHeight="1">
      <c r="A56" s="407"/>
      <c r="B56" s="379"/>
      <c r="C56" s="395">
        <f>IF('入力シート'!$C$43="適用","現場代理人氏名","")</f>
      </c>
      <c r="D56" s="415">
        <f>IF('入力シート'!$C$43="適用",C93,"")</f>
      </c>
      <c r="E56" s="417">
        <f>IF('入力シート'!$C$43="適用","評価を希望する場合は「☆配置予定現場代理人氏名記入欄」に氏名を記入してください。","")</f>
      </c>
      <c r="F56" s="418"/>
    </row>
    <row r="57" spans="1:6" s="33" customFormat="1" ht="54.75" customHeight="1">
      <c r="A57" s="407"/>
      <c r="B57" s="379"/>
      <c r="C57" s="396"/>
      <c r="D57" s="416"/>
      <c r="E57" s="419">
        <f>IF(AND('入力シート'!$C$43="適用",'入力シート'!$C$44="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57" s="420"/>
    </row>
    <row r="58" spans="1:6" s="33" customFormat="1" ht="30" customHeight="1">
      <c r="A58" s="407"/>
      <c r="B58" s="379"/>
      <c r="C58" s="178">
        <f>IF('入力シート'!$C$43="適用","専任指導技術者での評価","")</f>
      </c>
      <c r="D58" s="212"/>
      <c r="E58" s="368">
        <f>IF('入力シート'!$C$43="不適用","",IF(AND('入力シート'!$C$43="適用",'入力シート'!$C$44="適用"),"専任指導技術者の所有する表彰実績での評価を申請［する、しない］を記入してください。「する」の場合でも若手技術者が入札公告で定める技術者の要件を満たしている必要があります。","評価項目「若手技術者の育成」が不適用なため、記入不要です。"))</f>
      </c>
      <c r="F58" s="369"/>
    </row>
    <row r="59" spans="1:6" s="33" customFormat="1" ht="38.25" customHeight="1">
      <c r="A59" s="408"/>
      <c r="B59" s="380"/>
      <c r="C59" s="223">
        <f>IF('入力シート'!$C$43="適用","専任指導技術者氏名","")</f>
      </c>
      <c r="D59" s="36">
        <f>IF('入力シート'!$C$43="適用",IF(D58="する",D63,""),"")</f>
      </c>
      <c r="E59" s="362">
        <f>IF(AND('入力シート'!$C$43="適用",'入力シート'!$C$44="適用"),"専任指導技術者の実績で評価を希望する場合は評価項目「若手技術者の育成」にて「専任指導技術者の追加配置」を「する」にしてください。","")</f>
      </c>
      <c r="F59" s="363"/>
    </row>
    <row r="60" spans="1:6" s="130" customFormat="1" ht="36.75" customHeight="1">
      <c r="A60" s="406" t="s">
        <v>294</v>
      </c>
      <c r="B60" s="398" t="str">
        <f>'入力シート'!C44</f>
        <v>不適用</v>
      </c>
      <c r="C60" s="167">
        <f>IF('入力シート'!$C$44="適用","若手技術者の配置","")</f>
      </c>
      <c r="D60" s="210"/>
      <c r="E60" s="373">
        <f>IF('入力シート'!$C$44="適用","［する、しない］　のどちらかを記入してください。「する」の場合、「☆配置予定技術者氏名等記入欄」にその者の氏名等を記入してください(「若手技術者」の定義を必ずご確認ください）。","")</f>
      </c>
      <c r="F60" s="374"/>
    </row>
    <row r="61" spans="1:6" s="130" customFormat="1" ht="36.75" customHeight="1">
      <c r="A61" s="407"/>
      <c r="B61" s="399"/>
      <c r="C61" s="167">
        <f>IF('入力シート'!$C$44="適用","若手技術者氏名","")</f>
      </c>
      <c r="D61" s="421">
        <f>IF('入力シート'!$C$44="適用",IF(D60="する",C82,""),"")</f>
      </c>
      <c r="E61" s="421"/>
      <c r="F61" s="229">
        <f>IF('入力シート'!$C$44="適用","「☆配置予定技術者氏名等記入欄」に氏名を記入し条件が揃うと自動的に表示されます。","")</f>
      </c>
    </row>
    <row r="62" spans="1:6" s="130" customFormat="1" ht="36.75" customHeight="1">
      <c r="A62" s="407"/>
      <c r="B62" s="399"/>
      <c r="C62" s="167">
        <f>IF('入力シート'!$C$44="適用","専任指導技術者の追加配置","")</f>
      </c>
      <c r="D62" s="210"/>
      <c r="E62" s="373">
        <f>IF('入力シート'!$C$44="適用","［する、しない］　のどちらかを記入してください。「する」の場合、「☆専任指導技術者氏名等記入欄」にその者の氏名を記入してください。","")</f>
      </c>
      <c r="F62" s="374"/>
    </row>
    <row r="63" spans="1:6" s="130" customFormat="1" ht="35.25" customHeight="1">
      <c r="A63" s="408"/>
      <c r="B63" s="400"/>
      <c r="C63" s="231">
        <f>IF('入力シート'!$C$44="適用","専任指導技術者氏名","")</f>
      </c>
      <c r="D63" s="377">
        <f>IF('入力シート'!$C$44="適用",IF(AND(D60="する",D62="する"),C88,""),"")</f>
      </c>
      <c r="E63" s="377"/>
      <c r="F63" s="196">
        <f>IF('入力シート'!$C$44="適用","「☆専任指導技術者氏名記入欄」に氏名を記入し条件が揃うと自動的に表示されます。","")</f>
      </c>
    </row>
    <row r="64" spans="1:6" s="33" customFormat="1" ht="22.5" customHeight="1">
      <c r="A64" s="395" t="s">
        <v>126</v>
      </c>
      <c r="B64" s="378" t="str">
        <f>'入力シート'!C45</f>
        <v>不適用</v>
      </c>
      <c r="C64" s="189">
        <f>IF('入力シート'!$C$45="適用","ISO9001の登録","")</f>
      </c>
      <c r="D64" s="356"/>
      <c r="E64" s="357"/>
      <c r="F64" s="230">
        <f>IF('入力シート'!$C$45="適用","［有、無］　のどちらかを記入してください。","")</f>
      </c>
    </row>
    <row r="65" spans="1:6" s="33" customFormat="1" ht="31.5" customHeight="1">
      <c r="A65" s="396"/>
      <c r="B65" s="380"/>
      <c r="C65" s="178">
        <f>IF('入力シート'!$C$45="適用","添付書類","")</f>
      </c>
      <c r="D65" s="364">
        <f>IF('入力シート'!$C$45="適用","登録証の写し及び登録範囲が確認できる付属書等の写し","")</f>
      </c>
      <c r="E65" s="365"/>
      <c r="F65" s="224">
        <f>IF('入力シート'!$C$45="適用","変更不可","")</f>
      </c>
    </row>
    <row r="66" spans="1:6" s="33" customFormat="1" ht="31.5" customHeight="1">
      <c r="A66" s="406" t="s">
        <v>299</v>
      </c>
      <c r="B66" s="398" t="str">
        <f>'入力シート'!C46</f>
        <v>不適用</v>
      </c>
      <c r="C66" s="178">
        <f>IF('入力シート'!$C$46="適用","工事施工場所","")</f>
      </c>
      <c r="D66" s="362">
        <f>IF('入力シート'!$C$46="適用",'入力シート'!E46,"")</f>
      </c>
      <c r="E66" s="363"/>
      <c r="F66" s="224">
        <f>IF('入力シート'!$C$46="適用","変更不可","")</f>
      </c>
    </row>
    <row r="67" spans="1:6" s="33" customFormat="1" ht="31.5" customHeight="1">
      <c r="A67" s="407"/>
      <c r="B67" s="399"/>
      <c r="C67" s="167">
        <f>IF('入力シート'!$C$46="適用","主たる営業所の所在地","")</f>
      </c>
      <c r="D67" s="370"/>
      <c r="E67" s="370"/>
      <c r="F67" s="196"/>
    </row>
    <row r="68" spans="1:6" s="33" customFormat="1" ht="31.5" customHeight="1">
      <c r="A68" s="408"/>
      <c r="B68" s="400"/>
      <c r="C68" s="178">
        <f>IF('入力シート'!$C$46="適用","添付資料","")</f>
      </c>
      <c r="D68" s="370"/>
      <c r="E68" s="370"/>
      <c r="F68" s="196">
        <f>IF('入力シート'!$C$46="適用","添付する資料名を記入してください。","")</f>
      </c>
    </row>
    <row r="69" spans="1:6" s="33" customFormat="1" ht="36" customHeight="1">
      <c r="A69" s="150" t="s">
        <v>300</v>
      </c>
      <c r="B69" s="200" t="str">
        <f>'入力シート'!C47</f>
        <v>不適用</v>
      </c>
      <c r="C69" s="189">
        <f>IF('入力シート'!$C$47="適用","横浜市災害協力事業者名簿の登載","")</f>
      </c>
      <c r="D69" s="356"/>
      <c r="E69" s="357"/>
      <c r="F69" s="230">
        <f>IF('入力シート'!$C$47="適用","［有、無］　のどちらかを記入してください。","")</f>
      </c>
    </row>
    <row r="70" spans="1:6" s="33" customFormat="1" ht="31.5" customHeight="1">
      <c r="A70" s="406" t="s">
        <v>301</v>
      </c>
      <c r="B70" s="398" t="str">
        <f>'入力シート'!C48</f>
        <v>不適用</v>
      </c>
      <c r="C70" s="189">
        <f>IF('入力シート'!$C$48="適用","ISO14001の登録","")</f>
      </c>
      <c r="D70" s="356"/>
      <c r="E70" s="357"/>
      <c r="F70" s="230">
        <f>IF('入力シート'!$C$48="適用","［有、無］　のどちらかを記入してください。","")</f>
      </c>
    </row>
    <row r="71" spans="1:6" s="33" customFormat="1" ht="31.5" customHeight="1">
      <c r="A71" s="408"/>
      <c r="B71" s="400"/>
      <c r="C71" s="178">
        <f>IF('入力シート'!$C$48="適用","添付書類","")</f>
      </c>
      <c r="D71" s="364">
        <f>IF('入力シート'!$C$48="適用","登録証の写し及び登録範囲が確認できる付属書等の写し","")</f>
      </c>
      <c r="E71" s="365"/>
      <c r="F71" s="224">
        <f>IF('入力シート'!$C$48="適用","変更不可","")</f>
      </c>
    </row>
    <row r="72" spans="1:6" s="130" customFormat="1" ht="31.5" customHeight="1">
      <c r="A72" s="150" t="s">
        <v>302</v>
      </c>
      <c r="B72" s="200" t="str">
        <f>'入力シート'!C49</f>
        <v>不適用</v>
      </c>
      <c r="C72" s="150">
        <f>IF('入力シート'!$C$49="適用","市内中小企業の活用目標値(％)","")</f>
      </c>
      <c r="D72" s="371"/>
      <c r="E72" s="372"/>
      <c r="F72" s="196">
        <f>IF('入力シート'!$C$49="適用","目標値（％）を整数で記入してください。","")</f>
      </c>
    </row>
    <row r="73" spans="1:6" s="130" customFormat="1" ht="31.5" customHeight="1">
      <c r="A73" s="406" t="s">
        <v>303</v>
      </c>
      <c r="B73" s="398" t="str">
        <f>'入力シート'!C51</f>
        <v>不適用</v>
      </c>
      <c r="C73" s="189">
        <f>IF('入力シート'!$C$51="適用","横浜型地域貢献企業の認定","")</f>
      </c>
      <c r="D73" s="356"/>
      <c r="E73" s="357"/>
      <c r="F73" s="230">
        <f>IF('入力シート'!$C$51="適用","［有、無］　のどちらかを記入してください。","")</f>
      </c>
    </row>
    <row r="74" spans="1:6" s="130" customFormat="1" ht="31.5" customHeight="1">
      <c r="A74" s="408"/>
      <c r="B74" s="400"/>
      <c r="C74" s="167">
        <f>IF('入力シート'!$C$51="適用","添付書類","")</f>
      </c>
      <c r="D74" s="354">
        <f>IF('入力シート'!$C$51="適用","認定証の写し","")</f>
      </c>
      <c r="E74" s="355"/>
      <c r="F74" s="224">
        <f>IF('入力シート'!$C$51="適用","変更不可","")</f>
      </c>
    </row>
    <row r="75" spans="1:6" s="130" customFormat="1" ht="31.5" customHeight="1">
      <c r="A75" s="406" t="s">
        <v>304</v>
      </c>
      <c r="B75" s="398" t="str">
        <f>'入力シート'!C52</f>
        <v>不適用</v>
      </c>
      <c r="C75" s="167">
        <f>IF('入力シート'!$C$52="適用","保有する建設機械","")</f>
      </c>
      <c r="D75" s="370"/>
      <c r="E75" s="370"/>
      <c r="F75" s="197">
        <f>IF('入力シート'!$C$52="適用","1台のみ記入してください。","")</f>
      </c>
    </row>
    <row r="76" spans="1:6" s="130" customFormat="1" ht="31.5" customHeight="1">
      <c r="A76" s="407"/>
      <c r="B76" s="399"/>
      <c r="C76" s="406">
        <f>IF('入力シート'!$C$52="適用","添付書類","")</f>
      </c>
      <c r="D76" s="371"/>
      <c r="E76" s="372"/>
      <c r="F76" s="197">
        <f>IF('入力シート'!$C$52="適用","添付する資料名を記入してください。","")</f>
      </c>
    </row>
    <row r="77" spans="1:6" s="130" customFormat="1" ht="31.5" customHeight="1">
      <c r="A77" s="408"/>
      <c r="B77" s="400"/>
      <c r="C77" s="408"/>
      <c r="D77" s="354">
        <f>IF('入力シート'!$C$52="適用","当該建設機械の写真","")</f>
      </c>
      <c r="E77" s="355"/>
      <c r="F77" s="196">
        <f>IF('入力シート'!$C$52="適用","変更不可（上記資料に加え、必ず添付してください）。","")</f>
      </c>
    </row>
    <row r="78" s="33" customFormat="1" ht="9.75" customHeight="1"/>
    <row r="79" spans="1:13" s="130" customFormat="1" ht="15.75" customHeight="1">
      <c r="A79" s="375"/>
      <c r="B79" s="375"/>
      <c r="C79" s="375"/>
      <c r="D79" s="375"/>
      <c r="E79" s="375"/>
      <c r="F79" s="375"/>
      <c r="G79" s="190"/>
      <c r="H79" s="190"/>
      <c r="I79" s="190"/>
      <c r="J79" s="190"/>
      <c r="K79" s="190"/>
      <c r="L79" s="190"/>
      <c r="M79" s="190"/>
    </row>
    <row r="80" spans="1:13" s="130" customFormat="1" ht="15.75" customHeight="1">
      <c r="A80" s="34" t="s">
        <v>370</v>
      </c>
      <c r="B80" s="34"/>
      <c r="C80" s="34"/>
      <c r="D80" s="34"/>
      <c r="E80" s="34"/>
      <c r="F80" s="34"/>
      <c r="G80" s="190"/>
      <c r="H80" s="190"/>
      <c r="I80" s="190"/>
      <c r="J80" s="190"/>
      <c r="K80" s="190"/>
      <c r="L80" s="190"/>
      <c r="M80" s="190"/>
    </row>
    <row r="81" spans="1:6" s="130" customFormat="1" ht="17.25" customHeight="1">
      <c r="A81" s="397" t="s">
        <v>357</v>
      </c>
      <c r="B81" s="376"/>
      <c r="C81" s="376"/>
      <c r="D81" s="376"/>
      <c r="E81" s="376"/>
      <c r="F81" s="232" t="s">
        <v>344</v>
      </c>
    </row>
    <row r="82" spans="1:6" s="130" customFormat="1" ht="21" customHeight="1">
      <c r="A82" s="389" t="s">
        <v>345</v>
      </c>
      <c r="B82" s="390"/>
      <c r="C82" s="370"/>
      <c r="D82" s="370"/>
      <c r="E82" s="370"/>
      <c r="F82" s="225" t="str">
        <f>IF(OR('入力シート'!C41="適用",'入力シート'!C42="適用",'入力シート'!C44="適用"),"評価を希望しない場合は記入不要です。","記入不要")</f>
        <v>評価を希望しない場合は記入不要です。</v>
      </c>
    </row>
    <row r="83" spans="1:7" s="130" customFormat="1" ht="21" customHeight="1">
      <c r="A83" s="377" t="s">
        <v>356</v>
      </c>
      <c r="B83" s="377"/>
      <c r="C83" s="401" t="str">
        <f>IF(OR('入力シート'!C41="適用",'入力シート'!C42="適用",'入力シート'!C44="適用"),"監理技術者資格者証の写し及び監理技術者講習終了証の写し","")</f>
        <v>監理技術者資格者証の写し及び監理技術者講習終了証の写し</v>
      </c>
      <c r="D83" s="401"/>
      <c r="E83" s="401"/>
      <c r="F83" s="233" t="str">
        <f>IF(OR('入力シート'!C41="適用",'入力シート'!C42="適用",'入力シート'!C44="適用"),"変更不可","")</f>
        <v>変更不可</v>
      </c>
      <c r="G83" s="211"/>
    </row>
    <row r="84" spans="1:6" s="130" customFormat="1" ht="4.5" customHeight="1">
      <c r="A84" s="191"/>
      <c r="B84" s="191"/>
      <c r="C84" s="192"/>
      <c r="D84" s="192"/>
      <c r="E84" s="192"/>
      <c r="F84" s="193"/>
    </row>
    <row r="85" spans="1:13" s="130" customFormat="1" ht="15.75" customHeight="1">
      <c r="A85" s="34"/>
      <c r="B85" s="192"/>
      <c r="C85" s="192"/>
      <c r="D85" s="192"/>
      <c r="E85" s="192"/>
      <c r="F85" s="192"/>
      <c r="G85" s="190"/>
      <c r="H85" s="190"/>
      <c r="I85" s="190"/>
      <c r="J85" s="190"/>
      <c r="K85" s="190"/>
      <c r="L85" s="190"/>
      <c r="M85" s="190"/>
    </row>
    <row r="86" spans="1:13" s="130" customFormat="1" ht="15.75" customHeight="1">
      <c r="A86" s="34" t="s">
        <v>371</v>
      </c>
      <c r="B86" s="192"/>
      <c r="C86" s="192"/>
      <c r="D86" s="192"/>
      <c r="E86" s="192"/>
      <c r="F86" s="192"/>
      <c r="G86" s="190"/>
      <c r="H86" s="190"/>
      <c r="I86" s="190"/>
      <c r="J86" s="190"/>
      <c r="K86" s="190"/>
      <c r="L86" s="190"/>
      <c r="M86" s="190"/>
    </row>
    <row r="87" spans="1:13" s="130" customFormat="1" ht="15.75" customHeight="1">
      <c r="A87" s="397" t="s">
        <v>346</v>
      </c>
      <c r="B87" s="376"/>
      <c r="C87" s="376"/>
      <c r="D87" s="376"/>
      <c r="E87" s="376"/>
      <c r="F87" s="232" t="s">
        <v>344</v>
      </c>
      <c r="G87" s="190"/>
      <c r="H87" s="190"/>
      <c r="I87" s="190"/>
      <c r="J87" s="190"/>
      <c r="K87" s="190"/>
      <c r="L87" s="190"/>
      <c r="M87" s="190"/>
    </row>
    <row r="88" spans="1:6" s="130" customFormat="1" ht="24" customHeight="1">
      <c r="A88" s="389" t="s">
        <v>345</v>
      </c>
      <c r="B88" s="390"/>
      <c r="C88" s="370"/>
      <c r="D88" s="370"/>
      <c r="E88" s="370"/>
      <c r="F88" s="233" t="str">
        <f>IF('入力シート'!C44="適用","評価を希望しない場合は記入不要です。","記入不要")</f>
        <v>記入不要</v>
      </c>
    </row>
    <row r="89" spans="1:6" s="130" customFormat="1" ht="9" customHeight="1">
      <c r="A89" s="226"/>
      <c r="B89" s="226"/>
      <c r="C89" s="226"/>
      <c r="D89" s="226"/>
      <c r="E89" s="226"/>
      <c r="F89" s="226"/>
    </row>
    <row r="90" spans="1:13" s="130" customFormat="1" ht="15.75" customHeight="1">
      <c r="A90" s="375"/>
      <c r="B90" s="375"/>
      <c r="C90" s="375"/>
      <c r="D90" s="375"/>
      <c r="E90" s="375"/>
      <c r="F90" s="375"/>
      <c r="G90" s="190"/>
      <c r="H90" s="190"/>
      <c r="I90" s="190"/>
      <c r="J90" s="190"/>
      <c r="K90" s="190"/>
      <c r="L90" s="190"/>
      <c r="M90" s="190"/>
    </row>
    <row r="91" spans="1:13" s="130" customFormat="1" ht="15.75" customHeight="1">
      <c r="A91" s="34" t="s">
        <v>377</v>
      </c>
      <c r="B91" s="34"/>
      <c r="C91" s="34"/>
      <c r="D91" s="34"/>
      <c r="E91" s="34"/>
      <c r="F91" s="34"/>
      <c r="G91" s="190"/>
      <c r="H91" s="190"/>
      <c r="I91" s="190"/>
      <c r="J91" s="190"/>
      <c r="K91" s="190"/>
      <c r="L91" s="190"/>
      <c r="M91" s="190"/>
    </row>
    <row r="92" spans="1:13" s="130" customFormat="1" ht="15.75" customHeight="1">
      <c r="A92" s="397" t="s">
        <v>347</v>
      </c>
      <c r="B92" s="376"/>
      <c r="C92" s="376"/>
      <c r="D92" s="376"/>
      <c r="E92" s="376"/>
      <c r="F92" s="232" t="s">
        <v>344</v>
      </c>
      <c r="G92" s="190"/>
      <c r="H92" s="190"/>
      <c r="I92" s="190"/>
      <c r="J92" s="190"/>
      <c r="K92" s="190"/>
      <c r="L92" s="190"/>
      <c r="M92" s="190"/>
    </row>
    <row r="93" spans="1:6" s="130" customFormat="1" ht="23.25" customHeight="1">
      <c r="A93" s="389" t="s">
        <v>345</v>
      </c>
      <c r="B93" s="390"/>
      <c r="C93" s="370"/>
      <c r="D93" s="370"/>
      <c r="E93" s="370"/>
      <c r="F93" s="233" t="str">
        <f>IF('入力シート'!C43="適用","評価を希望しない場合は記入不要です。","記入不要")</f>
        <v>記入不要</v>
      </c>
    </row>
    <row r="94" spans="1:6" s="130" customFormat="1" ht="8.25" customHeight="1">
      <c r="A94" s="191"/>
      <c r="B94" s="191"/>
      <c r="C94" s="191"/>
      <c r="D94" s="191"/>
      <c r="E94" s="191"/>
      <c r="F94" s="191"/>
    </row>
    <row r="95" spans="4:6" s="33" customFormat="1" ht="17.25" customHeight="1">
      <c r="D95" s="39" t="s">
        <v>11</v>
      </c>
      <c r="E95" s="40" t="s">
        <v>12</v>
      </c>
      <c r="F95" s="175" t="str">
        <f>'入力シート'!E13</f>
        <v>○○　○○</v>
      </c>
    </row>
    <row r="96" spans="5:6" s="33" customFormat="1" ht="17.25" customHeight="1">
      <c r="E96" s="41" t="s">
        <v>13</v>
      </c>
      <c r="F96" s="174" t="str">
        <f>'入力シート'!E14</f>
        <v>045-999-9999</v>
      </c>
    </row>
    <row r="97" spans="5:11" s="33" customFormat="1" ht="17.25" customHeight="1">
      <c r="E97" s="41" t="s">
        <v>14</v>
      </c>
      <c r="F97" s="174" t="str">
        <f>'入力シート'!E15</f>
        <v>045-111-1111</v>
      </c>
      <c r="G97" s="42"/>
      <c r="H97" s="42"/>
      <c r="I97" s="42"/>
      <c r="J97" s="42"/>
      <c r="K97" s="42"/>
    </row>
    <row r="98" spans="6:14" ht="13.5">
      <c r="F98" s="29"/>
      <c r="G98" s="29"/>
      <c r="H98" s="29"/>
      <c r="I98" s="29"/>
      <c r="J98" s="29"/>
      <c r="K98" s="29"/>
      <c r="L98" s="28"/>
      <c r="M98" s="28"/>
      <c r="N98" s="28"/>
    </row>
    <row r="99" spans="6:14" ht="13.5">
      <c r="F99" s="29"/>
      <c r="G99" s="29"/>
      <c r="H99" s="29"/>
      <c r="I99" s="29"/>
      <c r="J99" s="29"/>
      <c r="K99" s="29"/>
      <c r="L99" s="28"/>
      <c r="M99" s="28"/>
      <c r="N99" s="28"/>
    </row>
    <row r="100" spans="5:13" ht="13.5">
      <c r="E100" s="28"/>
      <c r="F100" s="28"/>
      <c r="G100" s="28"/>
      <c r="H100" s="28"/>
      <c r="I100" s="28"/>
      <c r="J100" s="28"/>
      <c r="K100" s="28"/>
      <c r="L100" s="28"/>
      <c r="M100" s="28"/>
    </row>
    <row r="101" spans="5:13" ht="13.5">
      <c r="E101" s="28"/>
      <c r="F101" s="28"/>
      <c r="G101" s="28"/>
      <c r="H101" s="28"/>
      <c r="I101" s="28"/>
      <c r="J101" s="28"/>
      <c r="K101" s="28"/>
      <c r="L101" s="28"/>
      <c r="M101" s="28"/>
    </row>
    <row r="102" spans="5:13" ht="13.5">
      <c r="E102" s="28"/>
      <c r="F102" s="28"/>
      <c r="G102" s="28"/>
      <c r="H102" s="28"/>
      <c r="I102" s="28"/>
      <c r="J102" s="28"/>
      <c r="K102" s="28"/>
      <c r="L102" s="28"/>
      <c r="M102" s="28"/>
    </row>
  </sheetData>
  <sheetProtection password="E7B6" sheet="1" formatCells="0" formatRows="0" insertRows="0"/>
  <mergeCells count="101">
    <mergeCell ref="D56:D57"/>
    <mergeCell ref="E56:F56"/>
    <mergeCell ref="E57:F57"/>
    <mergeCell ref="E59:F59"/>
    <mergeCell ref="D61:E61"/>
    <mergeCell ref="D63:E63"/>
    <mergeCell ref="D45:E45"/>
    <mergeCell ref="D48:E48"/>
    <mergeCell ref="B44:B50"/>
    <mergeCell ref="E50:F50"/>
    <mergeCell ref="E51:F51"/>
    <mergeCell ref="D52:E52"/>
    <mergeCell ref="D47:E47"/>
    <mergeCell ref="D70:E70"/>
    <mergeCell ref="D72:E72"/>
    <mergeCell ref="A73:A74"/>
    <mergeCell ref="A75:A77"/>
    <mergeCell ref="D73:E73"/>
    <mergeCell ref="D75:E75"/>
    <mergeCell ref="D76:E76"/>
    <mergeCell ref="C76:C77"/>
    <mergeCell ref="A36:A40"/>
    <mergeCell ref="B73:B74"/>
    <mergeCell ref="B75:B77"/>
    <mergeCell ref="A41:A43"/>
    <mergeCell ref="A44:A50"/>
    <mergeCell ref="A51:A53"/>
    <mergeCell ref="A54:A59"/>
    <mergeCell ref="A64:A65"/>
    <mergeCell ref="A66:A68"/>
    <mergeCell ref="A70:A71"/>
    <mergeCell ref="A13:F13"/>
    <mergeCell ref="A32:A35"/>
    <mergeCell ref="A79:F79"/>
    <mergeCell ref="A81:E81"/>
    <mergeCell ref="A82:B82"/>
    <mergeCell ref="C82:E82"/>
    <mergeCell ref="A60:A63"/>
    <mergeCell ref="D44:E44"/>
    <mergeCell ref="D46:E46"/>
    <mergeCell ref="B70:B71"/>
    <mergeCell ref="A83:B83"/>
    <mergeCell ref="B54:B59"/>
    <mergeCell ref="B64:B65"/>
    <mergeCell ref="C88:E88"/>
    <mergeCell ref="A90:F90"/>
    <mergeCell ref="A92:E92"/>
    <mergeCell ref="A88:B88"/>
    <mergeCell ref="D68:E68"/>
    <mergeCell ref="B66:B68"/>
    <mergeCell ref="D71:E71"/>
    <mergeCell ref="A93:B93"/>
    <mergeCell ref="C93:E93"/>
    <mergeCell ref="E62:F62"/>
    <mergeCell ref="E39:F39"/>
    <mergeCell ref="F33:F35"/>
    <mergeCell ref="C56:C57"/>
    <mergeCell ref="A87:E87"/>
    <mergeCell ref="B60:B63"/>
    <mergeCell ref="C83:E83"/>
    <mergeCell ref="F46:F47"/>
    <mergeCell ref="D6:E6"/>
    <mergeCell ref="D7:E7"/>
    <mergeCell ref="D8:D11"/>
    <mergeCell ref="C42:C43"/>
    <mergeCell ref="E37:F37"/>
    <mergeCell ref="D35:E35"/>
    <mergeCell ref="A19:F19"/>
    <mergeCell ref="A21:C21"/>
    <mergeCell ref="A22:C22"/>
    <mergeCell ref="D41:E41"/>
    <mergeCell ref="D33:E33"/>
    <mergeCell ref="D34:E34"/>
    <mergeCell ref="E60:F60"/>
    <mergeCell ref="D64:E64"/>
    <mergeCell ref="A30:F30"/>
    <mergeCell ref="C31:E31"/>
    <mergeCell ref="B32:B35"/>
    <mergeCell ref="B36:B40"/>
    <mergeCell ref="B41:B43"/>
    <mergeCell ref="B51:B53"/>
    <mergeCell ref="D32:E32"/>
    <mergeCell ref="D77:E77"/>
    <mergeCell ref="D36:E36"/>
    <mergeCell ref="D38:E38"/>
    <mergeCell ref="D40:E40"/>
    <mergeCell ref="D65:E65"/>
    <mergeCell ref="D66:E66"/>
    <mergeCell ref="E49:F49"/>
    <mergeCell ref="E58:F58"/>
    <mergeCell ref="D67:E67"/>
    <mergeCell ref="A23:C23"/>
    <mergeCell ref="A24:C24"/>
    <mergeCell ref="A25:C25"/>
    <mergeCell ref="A26:C26"/>
    <mergeCell ref="A20:C20"/>
    <mergeCell ref="D74:E74"/>
    <mergeCell ref="D69:E69"/>
    <mergeCell ref="D53:E53"/>
    <mergeCell ref="D54:E54"/>
    <mergeCell ref="E55:F55"/>
  </mergeCells>
  <dataValidations count="6">
    <dataValidation allowBlank="1" showInputMessage="1" showErrorMessage="1" imeMode="halfAlpha" sqref="F98:K99"/>
    <dataValidation type="list" showInputMessage="1" showErrorMessage="1" sqref="E42:E43 D55">
      <formula1>"平成22年度,平成23年度,平成24年度,平成25年度,平成26年度,平成27年度"</formula1>
    </dataValidation>
    <dataValidation type="list" showInputMessage="1" showErrorMessage="1" sqref="D37 D39 D49 D51 D58 D60 D62">
      <formula1>"する,しない"</formula1>
    </dataValidation>
    <dataValidation type="list" showInputMessage="1" showErrorMessage="1" sqref="D67:E67">
      <formula1>"鶴見区,神奈川区,西区,中区,南区,港南区,保土ケ谷区,旭区,磯子区,金沢区,港北区,緑区,青葉区,都筑区,戸塚区,泉区,栄区,瀬谷区"</formula1>
    </dataValidation>
    <dataValidation type="list" showInputMessage="1" showErrorMessage="1" sqref="D69:E70 D73:E73 D64">
      <formula1>"有,無"</formula1>
    </dataValidation>
    <dataValidation type="list" showInputMessage="1" showErrorMessage="1" sqref="D75:E75">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s>
  <printOptions/>
  <pageMargins left="0.46" right="0.15748031496062992" top="0.46" bottom="0.5905511811023623" header="0.22" footer="0.1968503937007874"/>
  <pageSetup horizontalDpi="600" verticalDpi="600" orientation="portrait" paperSize="9" scale="75" r:id="rId2"/>
  <headerFooter>
    <oddFooter>&amp;C第1号様式の2ページ目の添付忘れにご注意ください。&amp;R&amp;6
</oddFooter>
    <firstFooter>&amp;C&lt;次ページあり&gt;</firstFooter>
  </headerFooter>
  <rowBreaks count="1" manualBreakCount="1">
    <brk id="53" max="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25</v>
      </c>
    </row>
    <row r="2" spans="16:20" ht="18" customHeight="1">
      <c r="P2" s="434" t="str">
        <f>'入力シート'!E6</f>
        <v>平成○○年○○月○○日</v>
      </c>
      <c r="Q2" s="434"/>
      <c r="R2" s="434"/>
      <c r="S2" s="434"/>
      <c r="T2" s="434"/>
    </row>
    <row r="3" ht="54" customHeight="1"/>
    <row r="4" spans="1:20" ht="18" customHeight="1">
      <c r="A4" s="422" t="s">
        <v>1</v>
      </c>
      <c r="B4" s="422"/>
      <c r="C4" s="422"/>
      <c r="D4" s="422"/>
      <c r="E4" s="422"/>
      <c r="F4" s="422"/>
      <c r="G4" s="422"/>
      <c r="H4" s="422"/>
      <c r="I4" s="422"/>
      <c r="J4" s="422"/>
      <c r="K4" s="422"/>
      <c r="L4" s="422"/>
      <c r="M4" s="422"/>
      <c r="N4" s="422"/>
      <c r="O4" s="422"/>
      <c r="P4" s="422"/>
      <c r="Q4" s="422"/>
      <c r="R4" s="422"/>
      <c r="S4" s="422"/>
      <c r="T4" s="422"/>
    </row>
    <row r="5" spans="1:20" ht="18" customHeight="1">
      <c r="A5" s="422" t="s">
        <v>24</v>
      </c>
      <c r="B5" s="422"/>
      <c r="C5" s="422"/>
      <c r="D5" s="422"/>
      <c r="E5" s="422"/>
      <c r="F5" s="422"/>
      <c r="G5" s="422"/>
      <c r="H5" s="422"/>
      <c r="I5" s="422"/>
      <c r="J5" s="422"/>
      <c r="K5" s="422"/>
      <c r="L5" s="422"/>
      <c r="M5" s="422"/>
      <c r="N5" s="422"/>
      <c r="O5" s="422"/>
      <c r="P5" s="422"/>
      <c r="Q5" s="422"/>
      <c r="R5" s="422"/>
      <c r="S5" s="422"/>
      <c r="T5" s="422"/>
    </row>
    <row r="6" ht="13.5" customHeight="1"/>
    <row r="7" spans="1:20" ht="27" customHeight="1">
      <c r="A7" s="10" t="s">
        <v>3</v>
      </c>
      <c r="B7" s="437" t="str">
        <f>'入力シート'!E19</f>
        <v>高速横浜環状北西線（下谷本地区）地盤改良工事（その２）</v>
      </c>
      <c r="C7" s="437"/>
      <c r="D7" s="437"/>
      <c r="E7" s="437"/>
      <c r="F7" s="437"/>
      <c r="G7" s="437"/>
      <c r="H7" s="437"/>
      <c r="I7" s="437"/>
      <c r="J7" s="437"/>
      <c r="K7" s="437"/>
      <c r="L7" s="437"/>
      <c r="M7" s="437"/>
      <c r="N7" s="437"/>
      <c r="O7" s="437"/>
      <c r="P7" s="437"/>
      <c r="Q7" s="437"/>
      <c r="R7" s="437"/>
      <c r="S7" s="437"/>
      <c r="T7" s="437"/>
    </row>
    <row r="8" spans="1:20" ht="27" customHeight="1">
      <c r="A8" s="423" t="s">
        <v>37</v>
      </c>
      <c r="B8" s="424"/>
      <c r="C8" s="440">
        <f>'入力シート'!E8</f>
        <v>12345</v>
      </c>
      <c r="D8" s="440"/>
      <c r="E8" s="440"/>
      <c r="F8" s="101"/>
      <c r="G8" s="101"/>
      <c r="H8" s="101"/>
      <c r="I8" s="101"/>
      <c r="J8" s="101"/>
      <c r="K8" s="101"/>
      <c r="L8" s="101"/>
      <c r="M8" s="101"/>
      <c r="N8" s="101"/>
      <c r="O8" s="101"/>
      <c r="P8" s="101"/>
      <c r="Q8" s="101"/>
      <c r="R8" s="101"/>
      <c r="S8" s="101"/>
      <c r="T8" s="101"/>
    </row>
    <row r="9" ht="27" customHeight="1"/>
    <row r="10" ht="14.25" thickBot="1">
      <c r="A10" s="1" t="s">
        <v>22</v>
      </c>
    </row>
    <row r="11" spans="1:20" ht="15" customHeight="1">
      <c r="A11" s="445" t="s">
        <v>23</v>
      </c>
      <c r="B11" s="446"/>
      <c r="C11" s="425" t="s">
        <v>138</v>
      </c>
      <c r="D11" s="426"/>
      <c r="E11" s="427"/>
      <c r="F11" s="425" t="s">
        <v>138</v>
      </c>
      <c r="G11" s="426"/>
      <c r="H11" s="427"/>
      <c r="I11" s="425" t="s">
        <v>138</v>
      </c>
      <c r="J11" s="426"/>
      <c r="K11" s="427"/>
      <c r="L11" s="425" t="s">
        <v>138</v>
      </c>
      <c r="M11" s="426"/>
      <c r="N11" s="427"/>
      <c r="O11" s="425" t="s">
        <v>138</v>
      </c>
      <c r="P11" s="426"/>
      <c r="Q11" s="427"/>
      <c r="R11" s="425" t="s">
        <v>138</v>
      </c>
      <c r="S11" s="426"/>
      <c r="T11" s="439"/>
    </row>
    <row r="12" spans="1:20" ht="15" customHeight="1">
      <c r="A12" s="447"/>
      <c r="B12" s="448"/>
      <c r="C12" s="435" t="s">
        <v>59</v>
      </c>
      <c r="D12" s="423"/>
      <c r="E12" s="436"/>
      <c r="F12" s="435" t="s">
        <v>59</v>
      </c>
      <c r="G12" s="423"/>
      <c r="H12" s="436"/>
      <c r="I12" s="435" t="s">
        <v>59</v>
      </c>
      <c r="J12" s="423"/>
      <c r="K12" s="436"/>
      <c r="L12" s="435" t="s">
        <v>59</v>
      </c>
      <c r="M12" s="423"/>
      <c r="N12" s="436"/>
      <c r="O12" s="435" t="s">
        <v>59</v>
      </c>
      <c r="P12" s="423"/>
      <c r="Q12" s="436"/>
      <c r="R12" s="435" t="s">
        <v>59</v>
      </c>
      <c r="S12" s="423"/>
      <c r="T12" s="438"/>
    </row>
    <row r="13" spans="1:20" ht="34.5" customHeight="1">
      <c r="A13" s="432"/>
      <c r="B13" s="433"/>
      <c r="C13" s="3"/>
      <c r="D13" s="4"/>
      <c r="E13" s="5"/>
      <c r="F13" s="3"/>
      <c r="G13" s="4"/>
      <c r="H13" s="6"/>
      <c r="I13" s="7"/>
      <c r="J13" s="4"/>
      <c r="K13" s="5"/>
      <c r="L13" s="3"/>
      <c r="M13" s="4"/>
      <c r="N13" s="6"/>
      <c r="O13" s="3"/>
      <c r="P13" s="4"/>
      <c r="Q13" s="6"/>
      <c r="R13" s="7"/>
      <c r="S13" s="4"/>
      <c r="T13" s="8"/>
    </row>
    <row r="14" spans="1:20" ht="34.5" customHeight="1">
      <c r="A14" s="432"/>
      <c r="B14" s="433"/>
      <c r="C14" s="3"/>
      <c r="D14" s="4"/>
      <c r="E14" s="5"/>
      <c r="F14" s="3"/>
      <c r="G14" s="4"/>
      <c r="H14" s="6"/>
      <c r="I14" s="7"/>
      <c r="J14" s="4"/>
      <c r="K14" s="5"/>
      <c r="L14" s="3"/>
      <c r="M14" s="4"/>
      <c r="N14" s="6"/>
      <c r="O14" s="3"/>
      <c r="P14" s="4"/>
      <c r="Q14" s="6"/>
      <c r="R14" s="7"/>
      <c r="S14" s="4"/>
      <c r="T14" s="8"/>
    </row>
    <row r="15" spans="1:20" ht="34.5" customHeight="1">
      <c r="A15" s="432"/>
      <c r="B15" s="433"/>
      <c r="C15" s="3"/>
      <c r="D15" s="4"/>
      <c r="E15" s="5"/>
      <c r="F15" s="3"/>
      <c r="G15" s="4"/>
      <c r="H15" s="6"/>
      <c r="I15" s="7"/>
      <c r="J15" s="4"/>
      <c r="K15" s="5"/>
      <c r="L15" s="3"/>
      <c r="M15" s="4"/>
      <c r="N15" s="6"/>
      <c r="O15" s="3"/>
      <c r="P15" s="4"/>
      <c r="Q15" s="6"/>
      <c r="R15" s="7"/>
      <c r="S15" s="4"/>
      <c r="T15" s="8"/>
    </row>
    <row r="16" spans="1:20" ht="34.5" customHeight="1">
      <c r="A16" s="432"/>
      <c r="B16" s="433"/>
      <c r="C16" s="3"/>
      <c r="D16" s="4"/>
      <c r="E16" s="5"/>
      <c r="F16" s="3"/>
      <c r="G16" s="4"/>
      <c r="H16" s="6"/>
      <c r="I16" s="7"/>
      <c r="J16" s="4"/>
      <c r="K16" s="5"/>
      <c r="L16" s="3"/>
      <c r="M16" s="4"/>
      <c r="N16" s="6"/>
      <c r="O16" s="3"/>
      <c r="P16" s="4"/>
      <c r="Q16" s="6"/>
      <c r="R16" s="7"/>
      <c r="S16" s="4"/>
      <c r="T16" s="8"/>
    </row>
    <row r="17" spans="1:20" ht="34.5" customHeight="1">
      <c r="A17" s="432"/>
      <c r="B17" s="433"/>
      <c r="C17" s="3"/>
      <c r="D17" s="4"/>
      <c r="E17" s="5"/>
      <c r="F17" s="3"/>
      <c r="G17" s="4"/>
      <c r="H17" s="6"/>
      <c r="I17" s="7"/>
      <c r="J17" s="4"/>
      <c r="K17" s="5"/>
      <c r="L17" s="3"/>
      <c r="M17" s="4"/>
      <c r="N17" s="6"/>
      <c r="O17" s="3"/>
      <c r="P17" s="4"/>
      <c r="Q17" s="6"/>
      <c r="R17" s="7"/>
      <c r="S17" s="4"/>
      <c r="T17" s="8"/>
    </row>
    <row r="18" spans="1:20" ht="34.5" customHeight="1">
      <c r="A18" s="432"/>
      <c r="B18" s="433"/>
      <c r="C18" s="3"/>
      <c r="D18" s="4"/>
      <c r="E18" s="5"/>
      <c r="F18" s="3"/>
      <c r="G18" s="4"/>
      <c r="H18" s="6"/>
      <c r="I18" s="7"/>
      <c r="J18" s="4"/>
      <c r="K18" s="5"/>
      <c r="L18" s="3"/>
      <c r="M18" s="4"/>
      <c r="N18" s="6"/>
      <c r="O18" s="3"/>
      <c r="P18" s="4"/>
      <c r="Q18" s="6"/>
      <c r="R18" s="7"/>
      <c r="S18" s="4"/>
      <c r="T18" s="8"/>
    </row>
    <row r="19" spans="1:20" ht="34.5" customHeight="1">
      <c r="A19" s="432"/>
      <c r="B19" s="433"/>
      <c r="C19" s="3"/>
      <c r="D19" s="4"/>
      <c r="E19" s="5"/>
      <c r="F19" s="3"/>
      <c r="G19" s="4"/>
      <c r="H19" s="6"/>
      <c r="I19" s="7"/>
      <c r="J19" s="4"/>
      <c r="K19" s="5"/>
      <c r="L19" s="3"/>
      <c r="M19" s="4"/>
      <c r="N19" s="6"/>
      <c r="O19" s="3"/>
      <c r="P19" s="4"/>
      <c r="Q19" s="6"/>
      <c r="R19" s="7"/>
      <c r="S19" s="4"/>
      <c r="T19" s="8"/>
    </row>
    <row r="20" spans="1:20" ht="34.5" customHeight="1">
      <c r="A20" s="432"/>
      <c r="B20" s="433"/>
      <c r="C20" s="3"/>
      <c r="D20" s="4"/>
      <c r="E20" s="5"/>
      <c r="F20" s="3"/>
      <c r="G20" s="4"/>
      <c r="H20" s="6"/>
      <c r="I20" s="7"/>
      <c r="J20" s="4"/>
      <c r="K20" s="5"/>
      <c r="L20" s="3"/>
      <c r="M20" s="4"/>
      <c r="N20" s="6"/>
      <c r="O20" s="3"/>
      <c r="P20" s="4"/>
      <c r="Q20" s="6"/>
      <c r="R20" s="7"/>
      <c r="S20" s="4"/>
      <c r="T20" s="8"/>
    </row>
    <row r="21" spans="1:20" ht="34.5" customHeight="1">
      <c r="A21" s="432"/>
      <c r="B21" s="433"/>
      <c r="C21" s="3"/>
      <c r="D21" s="4"/>
      <c r="E21" s="5"/>
      <c r="F21" s="3"/>
      <c r="G21" s="4"/>
      <c r="H21" s="6"/>
      <c r="I21" s="7"/>
      <c r="J21" s="4"/>
      <c r="K21" s="5"/>
      <c r="L21" s="3"/>
      <c r="M21" s="4"/>
      <c r="N21" s="6"/>
      <c r="O21" s="3"/>
      <c r="P21" s="4"/>
      <c r="Q21" s="6"/>
      <c r="R21" s="7"/>
      <c r="S21" s="4"/>
      <c r="T21" s="8"/>
    </row>
    <row r="22" spans="1:20" ht="34.5" customHeight="1">
      <c r="A22" s="432"/>
      <c r="B22" s="433"/>
      <c r="C22" s="3"/>
      <c r="D22" s="4"/>
      <c r="E22" s="5"/>
      <c r="F22" s="3"/>
      <c r="G22" s="4"/>
      <c r="H22" s="6"/>
      <c r="I22" s="7"/>
      <c r="J22" s="4"/>
      <c r="K22" s="5"/>
      <c r="L22" s="3"/>
      <c r="M22" s="4"/>
      <c r="N22" s="6"/>
      <c r="O22" s="3"/>
      <c r="P22" s="4"/>
      <c r="Q22" s="6"/>
      <c r="R22" s="7"/>
      <c r="S22" s="4"/>
      <c r="T22" s="8"/>
    </row>
    <row r="23" spans="1:20" ht="27" customHeight="1">
      <c r="A23" s="431" t="s">
        <v>69</v>
      </c>
      <c r="B23" s="272"/>
      <c r="C23" s="428" t="str">
        <f>IF('入力シート'!C32="適用",'入力シート'!E32,"今回工事ではこの項目を適用しません。")</f>
        <v>今回工事ではこの項目を適用しません。</v>
      </c>
      <c r="D23" s="429"/>
      <c r="E23" s="429"/>
      <c r="F23" s="429"/>
      <c r="G23" s="429"/>
      <c r="H23" s="429"/>
      <c r="I23" s="429"/>
      <c r="J23" s="429"/>
      <c r="K23" s="429"/>
      <c r="L23" s="429"/>
      <c r="M23" s="429"/>
      <c r="N23" s="429"/>
      <c r="O23" s="429"/>
      <c r="P23" s="429"/>
      <c r="Q23" s="429"/>
      <c r="R23" s="429"/>
      <c r="S23" s="429"/>
      <c r="T23" s="430"/>
    </row>
    <row r="24" spans="1:20" ht="285" customHeight="1" thickBot="1">
      <c r="A24" s="442" t="s">
        <v>68</v>
      </c>
      <c r="B24" s="443"/>
      <c r="C24" s="443"/>
      <c r="D24" s="443"/>
      <c r="E24" s="443"/>
      <c r="F24" s="443"/>
      <c r="G24" s="443"/>
      <c r="H24" s="443"/>
      <c r="I24" s="443"/>
      <c r="J24" s="443"/>
      <c r="K24" s="443"/>
      <c r="L24" s="443"/>
      <c r="M24" s="443"/>
      <c r="N24" s="443"/>
      <c r="O24" s="443"/>
      <c r="P24" s="443"/>
      <c r="Q24" s="443"/>
      <c r="R24" s="443"/>
      <c r="S24" s="443"/>
      <c r="T24" s="444"/>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441" t="s">
        <v>61</v>
      </c>
      <c r="B26" s="441"/>
      <c r="C26" s="441"/>
      <c r="D26" s="441"/>
      <c r="E26" s="441"/>
      <c r="F26" s="441"/>
      <c r="G26" s="441"/>
      <c r="H26" s="441"/>
      <c r="I26" s="441"/>
      <c r="J26" s="441"/>
      <c r="K26" s="441"/>
      <c r="L26" s="441"/>
      <c r="M26" s="441"/>
      <c r="N26" s="441"/>
      <c r="O26" s="441"/>
      <c r="P26" s="441"/>
      <c r="Q26" s="441"/>
      <c r="R26" s="441"/>
      <c r="S26" s="441"/>
      <c r="T26" s="441"/>
    </row>
  </sheetData>
  <sheetProtection/>
  <mergeCells count="33">
    <mergeCell ref="I11:K11"/>
    <mergeCell ref="L11:N11"/>
    <mergeCell ref="O11:Q11"/>
    <mergeCell ref="A11:B12"/>
    <mergeCell ref="C12:E12"/>
    <mergeCell ref="A16:B16"/>
    <mergeCell ref="A26:T26"/>
    <mergeCell ref="A14:B14"/>
    <mergeCell ref="A13:B13"/>
    <mergeCell ref="A21:B21"/>
    <mergeCell ref="A22:B22"/>
    <mergeCell ref="A24:T24"/>
    <mergeCell ref="A15:B15"/>
    <mergeCell ref="P2:T2"/>
    <mergeCell ref="L12:N12"/>
    <mergeCell ref="I12:K12"/>
    <mergeCell ref="B7:T7"/>
    <mergeCell ref="F12:H12"/>
    <mergeCell ref="R12:T12"/>
    <mergeCell ref="O12:Q12"/>
    <mergeCell ref="A5:T5"/>
    <mergeCell ref="R11:T11"/>
    <mergeCell ref="C8:E8"/>
    <mergeCell ref="A4:T4"/>
    <mergeCell ref="A8:B8"/>
    <mergeCell ref="C11:E11"/>
    <mergeCell ref="C23:T23"/>
    <mergeCell ref="A23:B23"/>
    <mergeCell ref="A20:B20"/>
    <mergeCell ref="A19:B19"/>
    <mergeCell ref="A18:B18"/>
    <mergeCell ref="A17:B17"/>
    <mergeCell ref="F11:H11"/>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27</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26</v>
      </c>
      <c r="B5" s="422"/>
      <c r="C5" s="422"/>
      <c r="D5" s="422"/>
      <c r="E5" s="422"/>
      <c r="F5" s="422"/>
      <c r="G5" s="422"/>
      <c r="H5" s="422"/>
      <c r="I5" s="422"/>
      <c r="J5" s="422"/>
      <c r="K5" s="422"/>
      <c r="L5" s="422"/>
      <c r="M5" s="422"/>
      <c r="N5" s="422"/>
    </row>
    <row r="7" spans="1:14" ht="27" customHeight="1">
      <c r="A7" s="10" t="s">
        <v>3</v>
      </c>
      <c r="B7" s="437" t="str">
        <f>'入力シート'!E19</f>
        <v>高速横浜環状北西線（下谷本地区）地盤改良工事（その２）</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IF('入力シート'!C33="適用",'入力シート'!E33,"今回工事ではこの項目を適用しません。")</f>
        <v>地盤改良に関する施工方法や改良体の品質や出来形に関すること</v>
      </c>
      <c r="F10" s="453"/>
      <c r="G10" s="453"/>
      <c r="H10" s="453"/>
      <c r="I10" s="453"/>
      <c r="J10" s="453"/>
      <c r="K10" s="453"/>
      <c r="L10" s="453"/>
      <c r="M10" s="453"/>
      <c r="N10" s="454"/>
    </row>
    <row r="11" ht="14.25" thickBot="1"/>
    <row r="12" spans="1:14" ht="27" customHeight="1">
      <c r="A12" s="460" t="s">
        <v>70</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33:D33"/>
    <mergeCell ref="E34:N34"/>
    <mergeCell ref="E33:N33"/>
    <mergeCell ref="A29:D29"/>
    <mergeCell ref="E27:N27"/>
    <mergeCell ref="E28:N28"/>
    <mergeCell ref="E29:N29"/>
    <mergeCell ref="A28:D28"/>
    <mergeCell ref="A27:D27"/>
    <mergeCell ref="A24:D24"/>
    <mergeCell ref="A25:D25"/>
    <mergeCell ref="E20:N20"/>
    <mergeCell ref="A22:D22"/>
    <mergeCell ref="A21:D21"/>
    <mergeCell ref="A20:D20"/>
    <mergeCell ref="A12:N12"/>
    <mergeCell ref="E17:N17"/>
    <mergeCell ref="A13:D13"/>
    <mergeCell ref="E19:N19"/>
    <mergeCell ref="E16:N16"/>
    <mergeCell ref="E13:N13"/>
    <mergeCell ref="A16:D16"/>
    <mergeCell ref="A18:D18"/>
    <mergeCell ref="E18:N18"/>
    <mergeCell ref="A19:D19"/>
    <mergeCell ref="E35:N35"/>
    <mergeCell ref="E30:N30"/>
    <mergeCell ref="A35:D35"/>
    <mergeCell ref="A31:D31"/>
    <mergeCell ref="A32:D32"/>
    <mergeCell ref="A30:D30"/>
    <mergeCell ref="A34:D34"/>
    <mergeCell ref="E32:N32"/>
    <mergeCell ref="E31:N31"/>
    <mergeCell ref="L2:N2"/>
    <mergeCell ref="A14:D14"/>
    <mergeCell ref="E14:N14"/>
    <mergeCell ref="A15:D15"/>
    <mergeCell ref="E15:N15"/>
    <mergeCell ref="B7:N7"/>
    <mergeCell ref="A4:N4"/>
    <mergeCell ref="A5:N5"/>
    <mergeCell ref="A8:B8"/>
    <mergeCell ref="A10:D10"/>
    <mergeCell ref="E26:N26"/>
    <mergeCell ref="C8:E8"/>
    <mergeCell ref="E23:N23"/>
    <mergeCell ref="E24:N24"/>
    <mergeCell ref="E25:N25"/>
    <mergeCell ref="A23:D23"/>
    <mergeCell ref="E21:N21"/>
    <mergeCell ref="E22:N22"/>
    <mergeCell ref="E10:N10"/>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29</v>
      </c>
      <c r="B5" s="422"/>
      <c r="C5" s="422"/>
      <c r="D5" s="422"/>
      <c r="E5" s="422"/>
      <c r="F5" s="422"/>
      <c r="G5" s="422"/>
      <c r="H5" s="422"/>
      <c r="I5" s="422"/>
      <c r="J5" s="422"/>
      <c r="K5" s="422"/>
      <c r="L5" s="422"/>
      <c r="M5" s="422"/>
      <c r="N5" s="422"/>
    </row>
    <row r="7" spans="1:14" ht="27" customHeight="1">
      <c r="A7" s="10" t="s">
        <v>3</v>
      </c>
      <c r="B7" s="437" t="str">
        <f>'入力シート'!E19</f>
        <v>高速横浜環状北西線（下谷本地区）地盤改良工事（その２）</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IF('入力シート'!C34="適用",'入力シート'!E34,"今回工事ではこの項目を適用しません。")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71</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L2:N2"/>
    <mergeCell ref="A14:D14"/>
    <mergeCell ref="E14:N14"/>
    <mergeCell ref="A15:D15"/>
    <mergeCell ref="E15:N15"/>
    <mergeCell ref="B7:N7"/>
    <mergeCell ref="A4:N4"/>
    <mergeCell ref="A5:N5"/>
    <mergeCell ref="A10:D10"/>
    <mergeCell ref="E10:N10"/>
    <mergeCell ref="E28:N28"/>
    <mergeCell ref="A8:B8"/>
    <mergeCell ref="C8:E8"/>
    <mergeCell ref="A20:D20"/>
    <mergeCell ref="E26:N26"/>
    <mergeCell ref="E23:N23"/>
    <mergeCell ref="A18:D18"/>
    <mergeCell ref="A21:D21"/>
    <mergeCell ref="E17:N17"/>
    <mergeCell ref="A13:D13"/>
    <mergeCell ref="A35:D35"/>
    <mergeCell ref="A27:D27"/>
    <mergeCell ref="A30:D30"/>
    <mergeCell ref="A31:D31"/>
    <mergeCell ref="A33:D33"/>
    <mergeCell ref="A34:D34"/>
    <mergeCell ref="A29:D29"/>
    <mergeCell ref="A32:D32"/>
    <mergeCell ref="A28:D28"/>
    <mergeCell ref="E29:N29"/>
    <mergeCell ref="E24:N24"/>
    <mergeCell ref="E25:N25"/>
    <mergeCell ref="E35:N35"/>
    <mergeCell ref="E27:N27"/>
    <mergeCell ref="E31:N31"/>
    <mergeCell ref="E34:N34"/>
    <mergeCell ref="E33:N33"/>
    <mergeCell ref="E32:N32"/>
    <mergeCell ref="E30:N30"/>
    <mergeCell ref="A16:D16"/>
    <mergeCell ref="E19:N19"/>
    <mergeCell ref="A22:D22"/>
    <mergeCell ref="E22:N22"/>
    <mergeCell ref="E20:N20"/>
    <mergeCell ref="E21:N21"/>
    <mergeCell ref="A26:D26"/>
    <mergeCell ref="A24:D24"/>
    <mergeCell ref="A25:D25"/>
    <mergeCell ref="A12:N12"/>
    <mergeCell ref="A17:D17"/>
    <mergeCell ref="E13:N13"/>
    <mergeCell ref="E16:N16"/>
    <mergeCell ref="A23:D23"/>
    <mergeCell ref="E18:N18"/>
    <mergeCell ref="A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32</v>
      </c>
      <c r="B5" s="422"/>
      <c r="C5" s="422"/>
      <c r="D5" s="422"/>
      <c r="E5" s="422"/>
      <c r="F5" s="422"/>
      <c r="G5" s="422"/>
      <c r="H5" s="422"/>
      <c r="I5" s="422"/>
      <c r="J5" s="422"/>
      <c r="K5" s="422"/>
      <c r="L5" s="422"/>
      <c r="M5" s="422"/>
      <c r="N5" s="422"/>
    </row>
    <row r="7" spans="1:14" ht="27" customHeight="1">
      <c r="A7" s="10" t="s">
        <v>3</v>
      </c>
      <c r="B7" s="437" t="str">
        <f>'入力シート'!E19</f>
        <v>高速横浜環状北西線（下谷本地区）地盤改良工事（その２）</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IF('入力シート'!C35="適用",'入力シート'!E35,"今回工事ではこの項目を適用しません。")</f>
        <v>施工を考慮したヤード計画や周辺環境に関すること</v>
      </c>
      <c r="F10" s="453"/>
      <c r="G10" s="453"/>
      <c r="H10" s="453"/>
      <c r="I10" s="453"/>
      <c r="J10" s="453"/>
      <c r="K10" s="453"/>
      <c r="L10" s="453"/>
      <c r="M10" s="453"/>
      <c r="N10" s="454"/>
    </row>
    <row r="11" ht="14.25" thickBot="1"/>
    <row r="12" spans="1:14" ht="27" customHeight="1">
      <c r="A12" s="460" t="s">
        <v>72</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E14:N14"/>
    <mergeCell ref="A19:D19"/>
    <mergeCell ref="E34:N34"/>
    <mergeCell ref="E33:N33"/>
    <mergeCell ref="A32:D32"/>
    <mergeCell ref="E32:N32"/>
    <mergeCell ref="E26:N26"/>
    <mergeCell ref="E27:N27"/>
    <mergeCell ref="A27:D27"/>
    <mergeCell ref="E25:N25"/>
    <mergeCell ref="E24:N24"/>
    <mergeCell ref="E22:N22"/>
    <mergeCell ref="A24:D24"/>
    <mergeCell ref="E30:N30"/>
    <mergeCell ref="E31:N31"/>
    <mergeCell ref="E29:N29"/>
    <mergeCell ref="E28:N28"/>
    <mergeCell ref="A26:D26"/>
    <mergeCell ref="C8:E8"/>
    <mergeCell ref="A14:D14"/>
    <mergeCell ref="E13:N13"/>
    <mergeCell ref="E20:N20"/>
    <mergeCell ref="A21:D21"/>
    <mergeCell ref="A22:D22"/>
    <mergeCell ref="A10:D10"/>
    <mergeCell ref="E10:N10"/>
    <mergeCell ref="A20:D20"/>
    <mergeCell ref="E15:N15"/>
    <mergeCell ref="E35:N35"/>
    <mergeCell ref="E23:N23"/>
    <mergeCell ref="A23:D23"/>
    <mergeCell ref="E21:N21"/>
    <mergeCell ref="L2:N2"/>
    <mergeCell ref="A16:D16"/>
    <mergeCell ref="E16:N16"/>
    <mergeCell ref="A17:D17"/>
    <mergeCell ref="E17:N17"/>
    <mergeCell ref="A8:B8"/>
    <mergeCell ref="E19:N19"/>
    <mergeCell ref="A25:D25"/>
    <mergeCell ref="E18:N18"/>
    <mergeCell ref="A4:N4"/>
    <mergeCell ref="A5:N5"/>
    <mergeCell ref="A13:D13"/>
    <mergeCell ref="A18:D18"/>
    <mergeCell ref="A12:N12"/>
    <mergeCell ref="B7:N7"/>
    <mergeCell ref="A15:D15"/>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sysmente</cp:lastModifiedBy>
  <cp:lastPrinted>2015-07-30T01:49:52Z</cp:lastPrinted>
  <dcterms:created xsi:type="dcterms:W3CDTF">2008-03-03T07:57:31Z</dcterms:created>
  <dcterms:modified xsi:type="dcterms:W3CDTF">2015-09-17T00:49:35Z</dcterms:modified>
  <cp:category/>
  <cp:version/>
  <cp:contentType/>
  <cp:contentStatus/>
</cp:coreProperties>
</file>