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825" windowHeight="7830"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<sst xmlns="http://schemas.openxmlformats.org/spreadsheetml/2006/main" count="448" uniqueCount="346">
  <si>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</si>
  <si>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</si>
  <si>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</si>
  <si>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</si>
  <si>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</si>
  <si>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</si>
  <si>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</si>
  <si>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</si>
  <si>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</si>
  <si>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</si>
  <si>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</si>
  <si>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</si>
  <si>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</si>
  <si>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</si>
  <si>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</si>
  <si>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</si>
  <si>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</si>
  <si>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</si>
  <si>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</si>
  <si>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</si>
  <si>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</si>
  <si>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</si>
  <si>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</si>
  <si>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</si>
  <si>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</si>
  <si>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</si>
  <si>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</si>
  <si>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</si>
  <si>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</si>
  <si>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</si>
  <si>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</si>
  <si>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</si>
  <si>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</si>
  <si>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</si>
  <si>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</si>
  <si>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</si>
  <si>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</si>
  <si>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</si>
  <si>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</si>
  <si>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</si>
  <si>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</si>
  <si>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</si>
  <si>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</si>
  <si>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</si>
  <si>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</si>
  <si>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</si>
  <si>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</si>
  <si>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</si>
  <si>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</si>
  <si>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</si>
  <si>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</si>
  <si>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</si>
  <si>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</si>
  <si>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</si>
  <si>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</si>
  <si>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</si>
  <si>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</si>
  <si>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</si>
  <si>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</si>
  <si>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</si>
  <si>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</si>
  <si>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</si>
  <si>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</si>
  <si>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</si>
  <si>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</si>
  <si>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</si>
  <si>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</si>
  <si>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</si>
  <si>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</si>
  <si>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</si>
  <si>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</si>
  <si>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</si>
  <si>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</si>
  <si>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</si>
  <si>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</si>
  <si>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</si>
  <si>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</si>
  <si>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</si>
  <si>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</si>
  <si>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</si>
  <si>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</si>
  <si>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</si>
  <si>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</si>
  <si>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</si>
  <si>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</si>
  <si>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</si>
  <si>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</si>
  <si>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</si>
  <si>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</si>
  <si>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</si>
  <si>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</si>
  <si>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</si>
  <si>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</si>
  <si>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</si>
  <si>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</si>
  <si>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</si>
  <si>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</si>
  <si>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</si>
  <si>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</si>
  <si>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</si>
  <si>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</si>
  <si>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</si>
  <si>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</si>
  <si>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</si>
  <si>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</si>
  <si>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</si>
  <si>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</si>
  <si>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</si>
  <si>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</si>
  <si>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</si>
  <si>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</si>
  <si>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</si>
  <si>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</si>
  <si>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</si>
  <si>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</si>
  <si>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</si>
  <si>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</si>
  <si>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</si>
  <si>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</si>
  <si>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</si>
  <si>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</si>
  <si>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</si>
  <si>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</si>
  <si>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</si>
  <si>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</si>
  <si>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</si>
  <si>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</si>
  <si>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</si>
  <si>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</si>
  <si>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</si>
  <si>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</si>
  <si>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</si>
  <si>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</si>
  <si>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</si>
  <si>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</si>
  <si>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</si>
  <si>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</si>
  <si>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</si>
  <si>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</si>
  <si>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</si>
  <si>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</si>
  <si>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</si>
  <si>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</si>
  <si>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</si>
  <si>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</si>
  <si>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</si>
  <si>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</si>
  <si>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</si>
  <si>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</si>
  <si>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</si>
  <si>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</si>
  <si>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</si>
  <si>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</si>
  <si>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</si>
  <si>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</si>
  <si>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</si>
  <si>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</si>
  <si>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</si>
  <si>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</si>
  <si>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</si>
  <si>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</si>
  <si>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</si>
  <si>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</si>
  <si>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</si>
  <si>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</si>
  <si>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</si>
  <si>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</si>
  <si>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</si>
  <si>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</si>
  <si>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</si>
  <si>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</si>
  <si>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</si>
  <si>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</si>
  <si>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</si>
  <si>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</si>
  <si>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</si>
  <si>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</si>
  <si>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</si>
  <si>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</si>
  <si>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</si>
  <si>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</si>
  <si>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</si>
  <si>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</si>
  <si>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</si>
  <si>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</si>
  <si>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</si>
  <si>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</si>
  <si>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</si>
  <si>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</si>
  <si>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</si>
  <si>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</si>
  <si>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</si>
  <si>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</si>
  <si>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</si>
  <si>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</si>
  <si>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</si>
  <si>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</si>
  <si>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</si>
  <si>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</si>
  <si>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</si>
  <si>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</si>
  <si>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</si>
  <si>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</si>
  <si>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</si>
  <si>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</si>
  <si>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</si>
  <si>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</si>
  <si>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</si>
  <si>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</si>
  <si>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</si>
  <si>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</si>
  <si>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</si>
  <si>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</si>
  <si>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</si>
  <si>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</si>
  <si>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</si>
  <si>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</si>
  <si>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</si>
  <si>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</si>
  <si>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</si>
  <si>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</si>
  <si>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</si>
  <si>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</si>
  <si>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</si>
  <si>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</si>
  <si>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</si>
  <si>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</si>
  <si>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</si>
  <si>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</si>
  <si>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</si>
  <si>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</si>
  <si>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</si>
  <si>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</si>
  <si>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</si>
  <si>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</si>
  <si>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</si>
  <si>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</si>
  <si>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</si>
  <si>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</si>
  <si>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</si>
  <si>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</si>
  <si>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</si>
  <si>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</si>
  <si>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</si>
  <si>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</si>
  <si>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</si>
  <si>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</si>
  <si>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</si>
  <si>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</si>
  <si>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</si>
  <si>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</si>
  <si>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</si>
  <si>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</si>
  <si>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</si>
  <si>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</si>
  <si>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</si>
  <si>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</si>
  <si>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</si>
  <si>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</si>
  <si>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</si>
  <si>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</si>
  <si>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</si>
  <si>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</si>
  <si>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</si>
  <si>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</si>
  <si>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</si>
  <si>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</si>
  <si>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</si>
  <si>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</si>
  <si>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</si>
  <si>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</si>
  <si>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</si>
  <si>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</si>
  <si>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</si>
  <si>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</si>
  <si>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</si>
  <si>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</si>
  <si>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</si>
  <si>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</si>
  <si>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</si>
  <si>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</si>
  <si>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</si>
  <si>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</si>
  <si>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</si>
  <si>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</si>
  <si>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</si>
  <si>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</si>
  <si>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</si>
  <si>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</si>
  <si>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</si>
  <si>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</si>
  <si>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</si>
  <si>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</si>
  <si>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</si>
  <si>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</si>
  <si>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</si>
  <si>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</si>
  <si>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</si>
  <si>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</si>
  <si>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</si>
  <si>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</si>
  <si>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</si>
  <si>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</si>
  <si>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</si>
  <si>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</si>
  <si>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</si>
  <si>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</si>
  <si>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</si>
  <si>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</si>
  <si>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</si>
  <si>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</si>
  <si>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</si>
  <si>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</si>
  <si>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</si>
  <si>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</si>
  <si>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</si>
  <si>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</si>
  <si>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</si>
  <si>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</si>
  <si>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</si>
  <si>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</si>
  <si>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</si>
  <si>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</si>
  <si>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</si>
  <si>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</si>
  <si>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</si>
  <si>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</si>
  <si>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</si>
  <si>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</si>
  <si>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</si>
  <si>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</si>
  <si>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</si>
  <si>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</si>
  <si>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</si>
  <si>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</si>
  <si>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</si>
  <si>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</si>
  <si>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管径３００ｍｍ以下の配水管布設工事</t>
  </si>
  <si>
    <t>上水道</t>
  </si>
  <si>
    <t>管径３００ｍｍ以下の配水管布設替工事</t>
  </si>
  <si>
    <t>東寺尾五丁目ほか２か所口径７５ｍｍから３００ｍｍ配水管布設替工事</t>
  </si>
  <si>
    <t>水道局北部工事課</t>
  </si>
  <si>
    <t>横浜市港北区大豆戸町１５５</t>
  </si>
  <si>
    <t>045-531-4341</t>
  </si>
  <si>
    <t>045-531-4342</t>
  </si>
  <si>
    <t>鶴見区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</si>
</sst>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9"/>
      <name val="MS UI Gothic"/>
      <family val="3"/>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70"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wrapText="1"/>
      <protection/>
    </xf>
    <xf numFmtId="0" fontId="71"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1"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5" xfId="0"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5" xfId="0" applyFont="1" applyBorder="1" applyAlignment="1" applyProtection="1">
      <alignment horizontal="left" vertical="center" wrapText="1"/>
      <protection/>
    </xf>
    <xf numFmtId="0" fontId="2" fillId="0" borderId="67"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68"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70" fillId="0" borderId="10" xfId="0" applyFont="1" applyBorder="1" applyAlignment="1">
      <alignment vertical="center" wrapText="1"/>
    </xf>
    <xf numFmtId="0" fontId="70" fillId="0" borderId="10" xfId="0" applyFont="1" applyFill="1" applyBorder="1" applyAlignment="1">
      <alignment vertical="center" wrapText="1"/>
    </xf>
    <xf numFmtId="0" fontId="72" fillId="0" borderId="10" xfId="0" applyFont="1" applyBorder="1" applyAlignment="1">
      <alignment vertical="center" wrapText="1"/>
    </xf>
    <xf numFmtId="0" fontId="70" fillId="0" borderId="28"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3" fillId="37" borderId="59" xfId="0" applyFont="1" applyFill="1" applyBorder="1" applyAlignment="1" applyProtection="1">
      <alignment horizontal="center" vertical="center"/>
      <protection/>
    </xf>
    <xf numFmtId="0" fontId="73"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85" zoomScaleNormal="85" zoomScalePageLayoutView="0" workbookViewId="0" topLeftCell="A1">
      <selection activeCell="E41" sqref="E41"/>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271</v>
      </c>
      <c r="F5" s="14" t="s">
        <v>22</v>
      </c>
    </row>
    <row r="6" spans="2:6" ht="37.5" customHeight="1" thickTop="1">
      <c r="B6" s="239" t="s">
        <v>16</v>
      </c>
      <c r="C6" s="15"/>
      <c r="D6" s="16" t="s">
        <v>20</v>
      </c>
      <c r="E6" s="46" t="s">
        <v>34</v>
      </c>
      <c r="F6" s="17" t="s">
        <v>23</v>
      </c>
    </row>
    <row r="7" spans="2:7" ht="37.5" customHeight="1">
      <c r="B7" s="240"/>
      <c r="C7" s="18"/>
      <c r="D7" s="19" t="s">
        <v>14</v>
      </c>
      <c r="E7" s="47" t="s">
        <v>36</v>
      </c>
      <c r="F7" s="17" t="s">
        <v>27</v>
      </c>
      <c r="G7" s="238" t="s">
        <v>28</v>
      </c>
    </row>
    <row r="8" spans="2:7" ht="37.5" customHeight="1">
      <c r="B8" s="241"/>
      <c r="C8" s="20"/>
      <c r="D8" s="19" t="s">
        <v>15</v>
      </c>
      <c r="E8" s="48">
        <v>12345</v>
      </c>
      <c r="F8" s="17" t="s">
        <v>40</v>
      </c>
      <c r="G8" s="238"/>
    </row>
    <row r="9" spans="2:7" ht="37.5" customHeight="1">
      <c r="B9" s="239" t="s">
        <v>12</v>
      </c>
      <c r="C9" s="15"/>
      <c r="D9" s="19" t="s">
        <v>10</v>
      </c>
      <c r="E9" s="47" t="s">
        <v>35</v>
      </c>
      <c r="F9" s="21" t="s">
        <v>24</v>
      </c>
      <c r="G9" s="238"/>
    </row>
    <row r="10" spans="2:7" ht="37.5" customHeight="1">
      <c r="B10" s="240"/>
      <c r="C10" s="18"/>
      <c r="D10" s="19" t="s">
        <v>8</v>
      </c>
      <c r="E10" s="47" t="s">
        <v>30</v>
      </c>
      <c r="F10" s="17" t="s">
        <v>25</v>
      </c>
      <c r="G10" s="238"/>
    </row>
    <row r="11" spans="2:6" ht="37.5" customHeight="1">
      <c r="B11" s="240"/>
      <c r="C11" s="18"/>
      <c r="D11" s="19" t="s">
        <v>21</v>
      </c>
      <c r="E11" s="47" t="s">
        <v>93</v>
      </c>
      <c r="F11" s="17" t="s">
        <v>29</v>
      </c>
    </row>
    <row r="12" spans="2:6" ht="37.5" customHeight="1">
      <c r="B12" s="240"/>
      <c r="C12" s="18"/>
      <c r="D12" s="19" t="s">
        <v>94</v>
      </c>
      <c r="E12" s="48">
        <v>56789</v>
      </c>
      <c r="F12" s="17" t="s">
        <v>29</v>
      </c>
    </row>
    <row r="13" spans="2:6" ht="37.5" customHeight="1">
      <c r="B13" s="240"/>
      <c r="C13" s="18"/>
      <c r="D13" s="19" t="s">
        <v>19</v>
      </c>
      <c r="E13" s="47" t="s">
        <v>31</v>
      </c>
      <c r="F13" s="242" t="s">
        <v>26</v>
      </c>
    </row>
    <row r="14" spans="2:6" ht="37.5" customHeight="1">
      <c r="B14" s="240"/>
      <c r="C14" s="18"/>
      <c r="D14" s="19" t="s">
        <v>6</v>
      </c>
      <c r="E14" s="47" t="s">
        <v>32</v>
      </c>
      <c r="F14" s="243"/>
    </row>
    <row r="15" spans="2:6" ht="37.5" customHeight="1" thickBot="1">
      <c r="B15" s="241"/>
      <c r="C15" s="20"/>
      <c r="D15" s="19" t="s">
        <v>7</v>
      </c>
      <c r="E15" s="49" t="s">
        <v>33</v>
      </c>
      <c r="F15" s="244"/>
    </row>
    <row r="16" ht="37.5" customHeight="1" thickTop="1"/>
    <row r="17" spans="2:3" ht="17.25">
      <c r="B17" s="10" t="s">
        <v>42</v>
      </c>
      <c r="C17" s="10"/>
    </row>
    <row r="18" spans="2:6" ht="18" customHeight="1" thickBot="1">
      <c r="B18" s="233" t="s">
        <v>17</v>
      </c>
      <c r="C18" s="233"/>
      <c r="D18" s="233"/>
      <c r="E18" s="22" t="s">
        <v>272</v>
      </c>
      <c r="F18" s="23" t="s">
        <v>22</v>
      </c>
    </row>
    <row r="19" spans="2:6" ht="37.5" customHeight="1" thickTop="1">
      <c r="B19" s="234" t="s">
        <v>16</v>
      </c>
      <c r="C19" s="235"/>
      <c r="D19" s="25" t="s">
        <v>2</v>
      </c>
      <c r="E19" s="26" t="s">
        <v>340</v>
      </c>
      <c r="F19" s="27"/>
    </row>
    <row r="20" spans="2:6" ht="23.25" customHeight="1">
      <c r="B20" s="236"/>
      <c r="C20" s="237"/>
      <c r="D20" s="245" t="s">
        <v>100</v>
      </c>
      <c r="E20" s="87" t="s">
        <v>341</v>
      </c>
      <c r="F20" s="88" t="s">
        <v>101</v>
      </c>
    </row>
    <row r="21" spans="2:6" ht="21.75" customHeight="1">
      <c r="B21" s="236"/>
      <c r="C21" s="237"/>
      <c r="D21" s="246"/>
      <c r="E21" s="89" t="s">
        <v>342</v>
      </c>
      <c r="F21" s="90" t="s">
        <v>102</v>
      </c>
    </row>
    <row r="22" spans="2:6" ht="21.75" customHeight="1">
      <c r="B22" s="236"/>
      <c r="C22" s="237"/>
      <c r="D22" s="246"/>
      <c r="E22" s="91" t="s">
        <v>343</v>
      </c>
      <c r="F22" s="92" t="s">
        <v>103</v>
      </c>
    </row>
    <row r="23" spans="2:6" ht="21.75" customHeight="1">
      <c r="B23" s="236"/>
      <c r="C23" s="237"/>
      <c r="D23" s="247"/>
      <c r="E23" s="93" t="s">
        <v>344</v>
      </c>
      <c r="F23" s="94" t="s">
        <v>104</v>
      </c>
    </row>
    <row r="24" spans="2:6" ht="37.5" customHeight="1">
      <c r="B24" s="236"/>
      <c r="C24" s="237"/>
      <c r="D24" s="28" t="s">
        <v>56</v>
      </c>
      <c r="E24" s="81">
        <v>42202</v>
      </c>
      <c r="F24" s="84" t="s">
        <v>276</v>
      </c>
    </row>
    <row r="25" spans="2:6" ht="37.5" customHeight="1">
      <c r="B25" s="236"/>
      <c r="C25" s="237"/>
      <c r="D25" s="29" t="s">
        <v>57</v>
      </c>
      <c r="E25" s="81">
        <v>42212</v>
      </c>
      <c r="F25" s="84" t="s">
        <v>276</v>
      </c>
    </row>
    <row r="26" spans="2:6" ht="37.5" customHeight="1">
      <c r="B26" s="236"/>
      <c r="C26" s="237"/>
      <c r="D26" s="29" t="s">
        <v>80</v>
      </c>
      <c r="E26" s="81">
        <v>42215</v>
      </c>
      <c r="F26" s="84" t="s">
        <v>276</v>
      </c>
    </row>
    <row r="27" spans="2:6" ht="37.5" customHeight="1">
      <c r="B27" s="236"/>
      <c r="C27" s="237"/>
      <c r="D27" s="29" t="s">
        <v>81</v>
      </c>
      <c r="E27" s="81">
        <v>42219</v>
      </c>
      <c r="F27" s="84" t="s">
        <v>276</v>
      </c>
    </row>
    <row r="28" spans="2:6" ht="37.5" customHeight="1">
      <c r="B28" s="236"/>
      <c r="C28" s="237"/>
      <c r="D28" s="29" t="s">
        <v>273</v>
      </c>
      <c r="E28" s="81">
        <v>42236</v>
      </c>
      <c r="F28" s="84" t="s">
        <v>276</v>
      </c>
    </row>
    <row r="29" spans="2:6" ht="37.5" customHeight="1" thickBot="1">
      <c r="B29" s="236"/>
      <c r="C29" s="237"/>
      <c r="D29" s="29" t="s">
        <v>82</v>
      </c>
      <c r="E29" s="82">
        <v>42249</v>
      </c>
      <c r="F29" s="84" t="s">
        <v>276</v>
      </c>
    </row>
    <row r="30" spans="1:6" s="32" customFormat="1" ht="45" customHeight="1" thickTop="1">
      <c r="A30" s="9"/>
      <c r="B30" s="30"/>
      <c r="C30" s="30"/>
      <c r="D30" s="30"/>
      <c r="E30" s="31"/>
      <c r="F30" s="80"/>
    </row>
    <row r="31" spans="2:6" ht="37.5" customHeight="1" thickBot="1">
      <c r="B31" s="33" t="s">
        <v>1</v>
      </c>
      <c r="C31" s="24" t="s">
        <v>71</v>
      </c>
      <c r="D31" s="34" t="s">
        <v>17</v>
      </c>
      <c r="E31" s="35" t="s">
        <v>272</v>
      </c>
      <c r="F31" s="33" t="s">
        <v>22</v>
      </c>
    </row>
    <row r="32" spans="2:6" ht="37.5" customHeight="1" thickTop="1">
      <c r="B32" s="29" t="s">
        <v>61</v>
      </c>
      <c r="C32" s="55" t="s">
        <v>244</v>
      </c>
      <c r="D32" s="50" t="s">
        <v>265</v>
      </c>
      <c r="E32" s="37" t="s">
        <v>337</v>
      </c>
      <c r="F32" s="36" t="s">
        <v>105</v>
      </c>
    </row>
    <row r="33" spans="2:7" ht="37.5" customHeight="1">
      <c r="B33" s="29" t="s">
        <v>62</v>
      </c>
      <c r="C33" s="56" t="s">
        <v>244</v>
      </c>
      <c r="D33" s="50" t="s">
        <v>75</v>
      </c>
      <c r="E33" s="37" t="s">
        <v>338</v>
      </c>
      <c r="F33" s="36" t="s">
        <v>106</v>
      </c>
      <c r="G33" s="38"/>
    </row>
    <row r="34" spans="2:7" ht="37.5" customHeight="1">
      <c r="B34" s="29" t="s">
        <v>63</v>
      </c>
      <c r="C34" s="56" t="s">
        <v>321</v>
      </c>
      <c r="D34" s="51" t="s">
        <v>115</v>
      </c>
      <c r="E34" s="39"/>
      <c r="F34" s="36" t="s">
        <v>107</v>
      </c>
      <c r="G34" s="38"/>
    </row>
    <row r="35" spans="2:7" ht="37.5" customHeight="1">
      <c r="B35" s="29" t="s">
        <v>64</v>
      </c>
      <c r="C35" s="56" t="s">
        <v>244</v>
      </c>
      <c r="D35" s="50" t="s">
        <v>264</v>
      </c>
      <c r="E35" s="37" t="s">
        <v>339</v>
      </c>
      <c r="F35" s="36" t="s">
        <v>105</v>
      </c>
      <c r="G35" s="38"/>
    </row>
    <row r="36" spans="2:7" ht="37.5" customHeight="1">
      <c r="B36" s="29" t="s">
        <v>65</v>
      </c>
      <c r="C36" s="56" t="s">
        <v>321</v>
      </c>
      <c r="D36" s="50" t="s">
        <v>266</v>
      </c>
      <c r="E36" s="40"/>
      <c r="F36" s="41"/>
      <c r="G36" s="38"/>
    </row>
    <row r="37" spans="2:7" ht="37.5" customHeight="1">
      <c r="B37" s="29" t="s">
        <v>66</v>
      </c>
      <c r="C37" s="56" t="s">
        <v>321</v>
      </c>
      <c r="D37" s="52" t="s">
        <v>116</v>
      </c>
      <c r="E37" s="39"/>
      <c r="F37" s="36" t="s">
        <v>107</v>
      </c>
      <c r="G37" s="38"/>
    </row>
    <row r="38" spans="2:6" ht="36" customHeight="1">
      <c r="B38" s="29" t="s">
        <v>67</v>
      </c>
      <c r="C38" s="56" t="s">
        <v>244</v>
      </c>
      <c r="D38" s="106" t="s">
        <v>232</v>
      </c>
      <c r="E38" s="107"/>
      <c r="F38" s="44"/>
    </row>
    <row r="39" spans="2:7" ht="37.5" customHeight="1">
      <c r="B39" s="29" t="s">
        <v>68</v>
      </c>
      <c r="C39" s="56" t="s">
        <v>321</v>
      </c>
      <c r="D39" s="53" t="s">
        <v>59</v>
      </c>
      <c r="E39" s="40"/>
      <c r="F39" s="41"/>
      <c r="G39" s="42"/>
    </row>
    <row r="40" spans="2:6" ht="37.5" customHeight="1">
      <c r="B40" s="29" t="s">
        <v>69</v>
      </c>
      <c r="C40" s="56" t="s">
        <v>244</v>
      </c>
      <c r="D40" s="51" t="s">
        <v>243</v>
      </c>
      <c r="E40" s="43" t="s">
        <v>345</v>
      </c>
      <c r="F40" s="44" t="s">
        <v>108</v>
      </c>
    </row>
    <row r="41" spans="2:6" ht="37.5" customHeight="1">
      <c r="B41" s="29" t="s">
        <v>70</v>
      </c>
      <c r="C41" s="56" t="s">
        <v>321</v>
      </c>
      <c r="D41" s="155" t="s">
        <v>248</v>
      </c>
      <c r="E41" s="45"/>
      <c r="F41" s="156" t="s">
        <v>247</v>
      </c>
    </row>
    <row r="42" spans="2:6" ht="36.75" customHeight="1">
      <c r="B42" s="29" t="s">
        <v>121</v>
      </c>
      <c r="C42" s="56" t="s">
        <v>244</v>
      </c>
      <c r="D42" s="99" t="s">
        <v>233</v>
      </c>
      <c r="E42" s="45"/>
      <c r="F42" s="44"/>
    </row>
    <row r="43" spans="2:6" ht="36.75" customHeight="1">
      <c r="B43" s="29" t="s">
        <v>123</v>
      </c>
      <c r="C43" s="56" t="s">
        <v>321</v>
      </c>
      <c r="D43" s="54" t="s">
        <v>58</v>
      </c>
      <c r="E43" s="109"/>
      <c r="F43" s="44"/>
    </row>
    <row r="44" spans="2:6" ht="36" customHeight="1">
      <c r="B44" s="225" t="s">
        <v>124</v>
      </c>
      <c r="C44" s="227" t="s">
        <v>321</v>
      </c>
      <c r="D44" s="229" t="s">
        <v>270</v>
      </c>
      <c r="E44" s="105"/>
      <c r="F44" s="231" t="s">
        <v>122</v>
      </c>
    </row>
    <row r="45" spans="2:6" ht="36" customHeight="1">
      <c r="B45" s="226"/>
      <c r="C45" s="228"/>
      <c r="D45" s="230"/>
      <c r="E45" s="105"/>
      <c r="F45" s="232"/>
    </row>
    <row r="46" spans="2:6" ht="36" customHeight="1">
      <c r="B46" s="29" t="s">
        <v>231</v>
      </c>
      <c r="C46" s="56" t="s">
        <v>321</v>
      </c>
      <c r="D46" s="106" t="s">
        <v>267</v>
      </c>
      <c r="E46" s="107"/>
      <c r="F46" s="44"/>
    </row>
    <row r="47" spans="2:6" ht="36" customHeight="1">
      <c r="B47" s="29" t="s">
        <v>269</v>
      </c>
      <c r="C47" s="56" t="s">
        <v>244</v>
      </c>
      <c r="D47" s="157" t="s">
        <v>268</v>
      </c>
      <c r="E47" s="107"/>
      <c r="F47" s="44"/>
    </row>
    <row r="48" spans="2:6" ht="30.75" customHeight="1">
      <c r="B48" s="29"/>
      <c r="C48" s="56" t="s">
        <v>321</v>
      </c>
      <c r="D48" s="152" t="s">
        <v>263</v>
      </c>
      <c r="E48" s="107"/>
      <c r="F48" s="36" t="s">
        <v>228</v>
      </c>
    </row>
    <row r="49" spans="2:6" ht="32.25" customHeight="1">
      <c r="B49" s="29"/>
      <c r="C49" s="56" t="s">
        <v>321</v>
      </c>
      <c r="D49" s="152" t="s">
        <v>240</v>
      </c>
      <c r="E49" s="107"/>
      <c r="F49" s="36" t="s">
        <v>228</v>
      </c>
    </row>
    <row r="50" spans="2:6" ht="36" customHeight="1" thickBot="1">
      <c r="B50" s="29"/>
      <c r="C50" s="154" t="s">
        <v>244</v>
      </c>
      <c r="D50" s="106" t="s">
        <v>224</v>
      </c>
      <c r="E50" s="108"/>
      <c r="F50" s="36" t="s">
        <v>225</v>
      </c>
    </row>
    <row r="51" spans="2:6" ht="35.25" customHeight="1" thickTop="1">
      <c r="B51" s="175"/>
      <c r="C51" s="175"/>
      <c r="D51" s="175"/>
      <c r="E51" s="175"/>
      <c r="F51" s="175"/>
    </row>
    <row r="52" spans="2:5" ht="13.5">
      <c r="B52" s="178"/>
      <c r="C52" s="179"/>
      <c r="D52" s="164" t="s">
        <v>274</v>
      </c>
      <c r="E52" s="180"/>
    </row>
    <row r="53" spans="2:6" ht="13.5">
      <c r="B53" s="178"/>
      <c r="C53" s="179"/>
      <c r="D53" s="164" t="s">
        <v>295</v>
      </c>
      <c r="E53" s="180">
        <f>EOMONTH(E28,-3-24)+1</f>
        <v>41426</v>
      </c>
      <c r="F53" s="9" t="s">
        <v>296</v>
      </c>
    </row>
    <row r="54" spans="2:5" ht="13.5">
      <c r="B54" s="177"/>
      <c r="C54" s="161"/>
      <c r="D54" s="158" t="s">
        <v>292</v>
      </c>
      <c r="E54" s="176">
        <f>YEAR(E53)-1988</f>
        <v>25</v>
      </c>
    </row>
    <row r="55" spans="2:5" ht="13.5">
      <c r="B55" s="177"/>
      <c r="C55" s="160"/>
      <c r="D55" s="165" t="s">
        <v>293</v>
      </c>
      <c r="E55" s="162">
        <f>MONTH(E53)</f>
        <v>6</v>
      </c>
    </row>
    <row r="56" spans="2:6" ht="13.5">
      <c r="B56" s="177"/>
      <c r="C56" s="160"/>
      <c r="D56" s="158" t="s">
        <v>291</v>
      </c>
      <c r="E56" s="181">
        <f>EOMONTH(E28,-3)</f>
        <v>42155</v>
      </c>
      <c r="F56" s="9" t="s">
        <v>294</v>
      </c>
    </row>
    <row r="57" spans="2:5" ht="13.5">
      <c r="B57" s="160"/>
      <c r="C57" s="160"/>
      <c r="D57" s="159" t="s">
        <v>292</v>
      </c>
      <c r="E57" s="176">
        <f>YEAR(E56)-1988</f>
        <v>27</v>
      </c>
    </row>
    <row r="58" spans="2:5" ht="13.5">
      <c r="B58" s="177"/>
      <c r="C58" s="160"/>
      <c r="D58" s="158" t="s">
        <v>293</v>
      </c>
      <c r="E58" s="176">
        <f>MONTH(E56)</f>
        <v>5</v>
      </c>
    </row>
    <row r="59" spans="2:5" ht="13.5">
      <c r="B59" s="160"/>
      <c r="C59" s="160"/>
      <c r="D59" s="163" t="s">
        <v>297</v>
      </c>
      <c r="E59" s="162">
        <f>DAY(E56)</f>
        <v>31</v>
      </c>
    </row>
  </sheetData>
  <sheetProtection/>
  <mergeCells count="11">
    <mergeCell ref="G7:G10"/>
    <mergeCell ref="B6:B8"/>
    <mergeCell ref="B9:B15"/>
    <mergeCell ref="F13:F15"/>
    <mergeCell ref="D20:D23"/>
    <mergeCell ref="B44:B45"/>
    <mergeCell ref="C44:C45"/>
    <mergeCell ref="D44:D45"/>
    <mergeCell ref="F44:F45"/>
    <mergeCell ref="B18:D18"/>
    <mergeCell ref="B19:C29"/>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87</v>
      </c>
      <c r="C2" s="248"/>
      <c r="D2" s="248"/>
    </row>
    <row r="3" spans="2:4" ht="7.5" customHeight="1">
      <c r="B3" s="57"/>
      <c r="C3" s="57"/>
      <c r="D3" s="57"/>
    </row>
    <row r="4" spans="2:4" ht="28.5">
      <c r="B4" s="248" t="s">
        <v>88</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東寺尾五丁目ほか２か所口径７５ｍｍから３００ｍｍ配水管布設替工事</v>
      </c>
    </row>
    <row r="13" spans="2:4" ht="189.75" customHeight="1">
      <c r="B13" s="58"/>
      <c r="C13" s="58"/>
      <c r="D13" s="58"/>
    </row>
    <row r="14" spans="2:4" ht="28.5">
      <c r="B14" s="248" t="s">
        <v>89</v>
      </c>
      <c r="C14" s="248"/>
      <c r="D14" s="248"/>
    </row>
    <row r="15" spans="2:4" ht="13.5">
      <c r="B15" s="249" t="s">
        <v>275</v>
      </c>
      <c r="C15" s="249"/>
      <c r="D15" s="249"/>
    </row>
    <row r="16" spans="2:4" ht="18" customHeight="1">
      <c r="B16" s="58"/>
      <c r="C16" s="58"/>
      <c r="D16" s="58"/>
    </row>
    <row r="17" spans="2:5" ht="13.5">
      <c r="B17" s="95" t="s">
        <v>111</v>
      </c>
      <c r="C17" s="95"/>
      <c r="D17" s="95"/>
      <c r="E17" s="95"/>
    </row>
    <row r="18" spans="2:4" ht="13.5">
      <c r="B18" s="95"/>
      <c r="C18" s="95" t="str">
        <f>'入力シート'!E20</f>
        <v>水道局北部工事課</v>
      </c>
      <c r="D18" s="95"/>
    </row>
    <row r="19" spans="2:4" ht="13.5">
      <c r="B19" s="95"/>
      <c r="C19" s="95" t="str">
        <f>'入力シート'!E21</f>
        <v>横浜市港北区大豆戸町１５５</v>
      </c>
      <c r="D19" s="95"/>
    </row>
    <row r="20" spans="2:4" ht="13.5">
      <c r="B20" s="95"/>
      <c r="C20" s="95" t="str">
        <f>"ＴＥＬ　　"&amp;'入力シート'!E22&amp;"　　　　　　　　　ＦＡＸ　　"&amp;'入力シート'!E23</f>
        <v>ＴＥＬ　　045-531-4341　　　　　　　　　ＦＡＸ　　045-531-4342</v>
      </c>
      <c r="D20" s="95"/>
    </row>
    <row r="22" spans="2:5" ht="13.5">
      <c r="B22" s="95" t="s">
        <v>109</v>
      </c>
      <c r="C22" s="95"/>
      <c r="D22" s="95"/>
      <c r="E22" s="95"/>
    </row>
    <row r="23" spans="2:5" ht="6" customHeight="1">
      <c r="B23" s="95"/>
      <c r="C23" s="95"/>
      <c r="D23" s="95"/>
      <c r="E23" s="95"/>
    </row>
    <row r="24" spans="2:4" ht="13.5">
      <c r="B24" s="95"/>
      <c r="C24" s="250">
        <f>'入力シート'!E24</f>
        <v>42202</v>
      </c>
      <c r="D24" s="250"/>
    </row>
    <row r="25" spans="2:5" ht="5.25" customHeight="1">
      <c r="B25" s="95"/>
      <c r="C25" s="95"/>
      <c r="D25" s="96"/>
      <c r="E25" s="96"/>
    </row>
    <row r="26" spans="2:5" ht="13.5">
      <c r="B26" s="95" t="s">
        <v>110</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239</v>
      </c>
    </row>
    <row r="2" ht="14.25" customHeight="1"/>
    <row r="3" spans="1:10" ht="14.25" customHeight="1">
      <c r="A3" s="268" t="s">
        <v>125</v>
      </c>
      <c r="B3" s="268"/>
      <c r="C3" s="268"/>
      <c r="D3" s="268"/>
      <c r="E3" s="268"/>
      <c r="F3" s="268"/>
      <c r="G3" s="268"/>
      <c r="H3" s="268"/>
      <c r="I3" s="268"/>
      <c r="J3" s="268"/>
    </row>
    <row r="4" spans="1:10" ht="14.25" customHeight="1">
      <c r="A4" s="97"/>
      <c r="B4" s="111" t="s">
        <v>126</v>
      </c>
      <c r="C4" s="252" t="s">
        <v>250</v>
      </c>
      <c r="D4" s="252"/>
      <c r="E4" s="252"/>
      <c r="F4" s="269" t="str">
        <f>'入力シート'!E19</f>
        <v>東寺尾五丁目ほか２か所口径７５ｍｍから３００ｍｍ配水管布設替工事</v>
      </c>
      <c r="G4" s="269"/>
      <c r="H4" s="269"/>
      <c r="I4" s="269"/>
      <c r="J4" s="269"/>
    </row>
    <row r="5" spans="1:10" ht="14.25" customHeight="1">
      <c r="A5" s="97"/>
      <c r="B5" s="111" t="s">
        <v>127</v>
      </c>
      <c r="C5" s="252" t="s">
        <v>251</v>
      </c>
      <c r="D5" s="252"/>
      <c r="E5" s="252"/>
      <c r="F5" s="252"/>
      <c r="G5" s="252"/>
      <c r="H5" s="252"/>
      <c r="I5" s="252"/>
      <c r="J5" s="252"/>
    </row>
    <row r="6" spans="1:10" ht="14.25" customHeight="1">
      <c r="A6" s="97"/>
      <c r="B6" s="97"/>
      <c r="C6" s="252" t="s">
        <v>246</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128</v>
      </c>
      <c r="B11" s="252"/>
      <c r="C11" s="252"/>
      <c r="D11" s="252"/>
      <c r="E11" s="252"/>
      <c r="F11" s="252"/>
      <c r="G11" s="252"/>
      <c r="H11" s="252"/>
      <c r="I11" s="252"/>
      <c r="J11" s="252"/>
    </row>
    <row r="12" spans="1:10" ht="14.25" customHeight="1">
      <c r="A12" s="100"/>
      <c r="B12" s="252" t="s">
        <v>129</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130</v>
      </c>
      <c r="B15" s="266"/>
      <c r="C15" s="266"/>
      <c r="D15" s="266"/>
      <c r="E15" s="266"/>
      <c r="F15" s="266"/>
      <c r="G15" s="266"/>
      <c r="H15" s="266"/>
      <c r="I15" s="266"/>
      <c r="J15" s="266"/>
    </row>
    <row r="16" spans="2:11" ht="14.25" customHeight="1">
      <c r="B16" s="266" t="s">
        <v>131</v>
      </c>
      <c r="C16" s="266"/>
      <c r="D16" s="266"/>
      <c r="E16" s="266"/>
      <c r="F16" s="266"/>
      <c r="G16" s="266"/>
      <c r="H16" s="266"/>
      <c r="I16" s="266"/>
      <c r="J16" s="266"/>
      <c r="K16" s="114"/>
    </row>
    <row r="17" spans="4:9" ht="14.25" customHeight="1">
      <c r="D17" s="267" t="s">
        <v>76</v>
      </c>
      <c r="E17" s="267"/>
      <c r="F17" s="267"/>
      <c r="G17" s="267"/>
      <c r="H17" s="115" t="s">
        <v>77</v>
      </c>
      <c r="I17" s="115" t="s">
        <v>132</v>
      </c>
    </row>
    <row r="18" spans="4:9" ht="14.25" customHeight="1">
      <c r="D18" s="264" t="s">
        <v>133</v>
      </c>
      <c r="E18" s="264"/>
      <c r="F18" s="264"/>
      <c r="G18" s="264"/>
      <c r="H18" s="116">
        <f>'入力シート'!E24</f>
        <v>42202</v>
      </c>
      <c r="I18" s="117" t="s">
        <v>134</v>
      </c>
    </row>
    <row r="19" spans="4:9" ht="14.25" customHeight="1">
      <c r="D19" s="264" t="s">
        <v>78</v>
      </c>
      <c r="E19" s="264"/>
      <c r="F19" s="264"/>
      <c r="G19" s="264"/>
      <c r="H19" s="116">
        <f>'入力シート'!E25</f>
        <v>42212</v>
      </c>
      <c r="I19" s="117"/>
    </row>
    <row r="20" spans="4:9" ht="14.25" customHeight="1">
      <c r="D20" s="264" t="s">
        <v>79</v>
      </c>
      <c r="E20" s="264"/>
      <c r="F20" s="264"/>
      <c r="G20" s="264"/>
      <c r="H20" s="118">
        <f>'入力シート'!E26</f>
        <v>42215</v>
      </c>
      <c r="I20" s="119"/>
    </row>
    <row r="21" spans="4:9" ht="14.25" customHeight="1">
      <c r="D21" s="264"/>
      <c r="E21" s="264"/>
      <c r="F21" s="264"/>
      <c r="G21" s="264"/>
      <c r="H21" s="120">
        <f>'入力シート'!E27</f>
        <v>42219</v>
      </c>
      <c r="I21" s="121"/>
    </row>
    <row r="22" spans="4:9" ht="14.25" customHeight="1">
      <c r="D22" s="264" t="s">
        <v>135</v>
      </c>
      <c r="E22" s="264"/>
      <c r="F22" s="264"/>
      <c r="G22" s="264"/>
      <c r="H22" s="122">
        <f>'入力シート'!E29</f>
        <v>42249</v>
      </c>
      <c r="I22" s="123" t="s">
        <v>136</v>
      </c>
    </row>
    <row r="23" ht="14.25" customHeight="1"/>
    <row r="24" spans="2:9" ht="14.25" customHeight="1">
      <c r="B24" s="95" t="s">
        <v>137</v>
      </c>
      <c r="D24" s="253" t="s">
        <v>138</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139</v>
      </c>
      <c r="D29" s="253" t="s">
        <v>140</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141</v>
      </c>
      <c r="B32" s="252"/>
      <c r="C32" s="252"/>
      <c r="D32" s="252"/>
      <c r="E32" s="252"/>
      <c r="F32" s="252"/>
      <c r="G32" s="252"/>
      <c r="H32" s="252"/>
      <c r="I32" s="252"/>
      <c r="J32" s="252"/>
    </row>
    <row r="33" spans="1:10" ht="14.25" customHeight="1">
      <c r="A33" s="100"/>
      <c r="B33" s="252" t="s">
        <v>142</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84</v>
      </c>
      <c r="E35" s="262"/>
      <c r="F35" s="262"/>
      <c r="G35" s="263" t="s">
        <v>83</v>
      </c>
      <c r="H35" s="263"/>
      <c r="I35" s="263"/>
      <c r="J35" s="98"/>
    </row>
    <row r="36" spans="1:10" ht="28.5" customHeight="1">
      <c r="A36" s="97"/>
      <c r="B36" s="97"/>
      <c r="C36" s="97"/>
      <c r="D36" s="256" t="s">
        <v>143</v>
      </c>
      <c r="E36" s="256"/>
      <c r="F36" s="256"/>
      <c r="G36" s="257" t="str">
        <f>IF('入力シート'!C32="適用",'入力シート'!E32,"今回工事ではこの項目を適用しません。")</f>
        <v>管径３００ｍｍ以下の配水管布設工事</v>
      </c>
      <c r="H36" s="257"/>
      <c r="I36" s="257"/>
      <c r="J36" s="98"/>
    </row>
    <row r="37" spans="1:10" ht="28.5" customHeight="1">
      <c r="A37" s="97"/>
      <c r="B37" s="97"/>
      <c r="C37" s="97"/>
      <c r="D37" s="256" t="s">
        <v>144</v>
      </c>
      <c r="E37" s="256"/>
      <c r="F37" s="256"/>
      <c r="G37" s="257" t="str">
        <f>IF('入力シート'!C33="適用",'入力シート'!E33,"今回工事ではこの項目を適用しません。")</f>
        <v>上水道</v>
      </c>
      <c r="H37" s="257"/>
      <c r="I37" s="257"/>
      <c r="J37" s="98"/>
    </row>
    <row r="38" spans="1:10" ht="28.5" customHeight="1">
      <c r="A38" s="97"/>
      <c r="B38" s="97"/>
      <c r="C38" s="97"/>
      <c r="D38" s="256" t="s">
        <v>145</v>
      </c>
      <c r="E38" s="256"/>
      <c r="F38" s="256"/>
      <c r="G38" s="257" t="str">
        <f>IF('入力シート'!C34="適用",'入力シート'!E34,"今回工事ではこの項目を適用しません。")</f>
        <v>今回工事ではこの項目を適用しません。</v>
      </c>
      <c r="H38" s="257"/>
      <c r="I38" s="257"/>
      <c r="J38" s="98"/>
    </row>
    <row r="39" spans="1:10" ht="28.5" customHeight="1">
      <c r="A39" s="97"/>
      <c r="B39" s="97"/>
      <c r="C39" s="97"/>
      <c r="D39" s="256" t="s">
        <v>146</v>
      </c>
      <c r="E39" s="256"/>
      <c r="F39" s="256"/>
      <c r="G39" s="257" t="str">
        <f>IF('入力シート'!C35="適用",'入力シート'!E35,"今回工事ではこの項目を適用しません。")</f>
        <v>管径３００ｍｍ以下の配水管布設替工事</v>
      </c>
      <c r="H39" s="257"/>
      <c r="I39" s="257"/>
      <c r="J39" s="98"/>
    </row>
    <row r="40" spans="1:10" ht="28.5" customHeight="1">
      <c r="A40" s="97"/>
      <c r="B40" s="97"/>
      <c r="C40" s="97"/>
      <c r="D40" s="256" t="s">
        <v>147</v>
      </c>
      <c r="E40" s="256"/>
      <c r="F40" s="256"/>
      <c r="G40" s="257" t="str">
        <f>IF('入力シート'!C37="適用",'入力シート'!E37,"今回工事ではこの項目を適用しません。")</f>
        <v>今回工事ではこの項目を適用しません。</v>
      </c>
      <c r="H40" s="257"/>
      <c r="I40" s="257"/>
      <c r="J40" s="98"/>
    </row>
    <row r="41" spans="1:10" ht="28.5" customHeight="1">
      <c r="A41" s="97"/>
      <c r="B41" s="97"/>
      <c r="C41" s="97"/>
      <c r="D41" s="258" t="s">
        <v>242</v>
      </c>
      <c r="E41" s="258"/>
      <c r="F41" s="258"/>
      <c r="G41" s="257" t="str">
        <f>IF('入力シート'!C40="適用",'入力シート'!E40,"今回工事ではこの項目を適用しません。")</f>
        <v>鶴見区</v>
      </c>
      <c r="H41" s="257"/>
      <c r="I41" s="257"/>
      <c r="J41" s="98"/>
    </row>
    <row r="42" spans="1:10" ht="15" customHeight="1">
      <c r="A42" s="97"/>
      <c r="B42" s="97"/>
      <c r="C42" s="97"/>
      <c r="D42" s="125" t="s">
        <v>148</v>
      </c>
      <c r="E42" s="259" t="s">
        <v>149</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150</v>
      </c>
      <c r="E45" s="261" t="s">
        <v>151</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152</v>
      </c>
      <c r="B48" s="252"/>
      <c r="C48" s="252"/>
      <c r="D48" s="252"/>
      <c r="E48" s="252"/>
      <c r="F48" s="252"/>
      <c r="G48" s="252"/>
      <c r="H48" s="252"/>
      <c r="I48" s="252"/>
      <c r="J48" s="252"/>
    </row>
    <row r="49" spans="1:10" ht="14.25" customHeight="1">
      <c r="A49" s="97"/>
      <c r="B49" s="128" t="s">
        <v>126</v>
      </c>
      <c r="C49" s="252" t="s">
        <v>153</v>
      </c>
      <c r="D49" s="252"/>
      <c r="E49" s="252"/>
      <c r="F49" s="252"/>
      <c r="G49" s="252"/>
      <c r="H49" s="252"/>
      <c r="I49" s="252"/>
      <c r="J49" s="252"/>
    </row>
    <row r="50" spans="1:10" ht="14.25" customHeight="1">
      <c r="A50" s="97"/>
      <c r="B50" s="129"/>
      <c r="C50" s="97"/>
      <c r="D50" s="252" t="s">
        <v>154</v>
      </c>
      <c r="E50" s="252"/>
      <c r="F50" s="252"/>
      <c r="G50" s="252"/>
      <c r="H50" s="252"/>
      <c r="I50" s="252"/>
      <c r="J50" s="252"/>
    </row>
    <row r="51" spans="1:10" ht="14.25" customHeight="1">
      <c r="A51" s="97"/>
      <c r="B51" s="128" t="s">
        <v>127</v>
      </c>
      <c r="C51" s="252" t="s">
        <v>252</v>
      </c>
      <c r="D51" s="252"/>
      <c r="E51" s="252"/>
      <c r="F51" s="252"/>
      <c r="G51" s="252"/>
      <c r="H51" s="252"/>
      <c r="I51" s="252"/>
      <c r="J51" s="252"/>
    </row>
    <row r="52" spans="1:10" ht="14.25" customHeight="1">
      <c r="A52" s="112"/>
      <c r="B52" s="129"/>
      <c r="C52" s="252" t="s">
        <v>155</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156</v>
      </c>
      <c r="C56" s="252" t="s">
        <v>253</v>
      </c>
      <c r="D56" s="252"/>
      <c r="E56" s="252"/>
      <c r="F56" s="252"/>
      <c r="G56" s="252"/>
      <c r="H56" s="252"/>
      <c r="I56" s="252"/>
      <c r="J56" s="252"/>
    </row>
    <row r="57" spans="1:10" ht="14.25" customHeight="1">
      <c r="A57" s="112"/>
      <c r="B57" s="129"/>
      <c r="C57" s="112"/>
      <c r="D57" s="252" t="s">
        <v>157</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158</v>
      </c>
      <c r="C60" s="252" t="s">
        <v>254</v>
      </c>
      <c r="D60" s="252"/>
      <c r="E60" s="252"/>
      <c r="F60" s="252"/>
      <c r="G60" s="252"/>
      <c r="H60" s="252"/>
      <c r="I60" s="252"/>
      <c r="J60" s="252"/>
    </row>
    <row r="61" spans="1:10" ht="14.25" customHeight="1">
      <c r="A61" s="112"/>
      <c r="B61" s="129"/>
      <c r="C61" s="253" t="s">
        <v>159</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160</v>
      </c>
      <c r="C65" s="252" t="s">
        <v>255</v>
      </c>
      <c r="D65" s="252"/>
      <c r="E65" s="252"/>
      <c r="F65" s="252"/>
      <c r="G65" s="252"/>
      <c r="H65" s="252"/>
      <c r="I65" s="252"/>
      <c r="J65" s="252"/>
    </row>
    <row r="66" spans="1:10" ht="14.25" customHeight="1">
      <c r="A66" s="112"/>
      <c r="B66" s="129"/>
      <c r="C66" s="112" t="s">
        <v>161</v>
      </c>
      <c r="D66" s="252" t="s">
        <v>162</v>
      </c>
      <c r="E66" s="252"/>
      <c r="F66" s="252"/>
      <c r="G66" s="252"/>
      <c r="H66" s="252"/>
      <c r="I66" s="252"/>
      <c r="J66" s="252"/>
    </row>
    <row r="67" spans="1:10" ht="14.25" customHeight="1">
      <c r="A67" s="112"/>
      <c r="C67" s="112" t="s">
        <v>163</v>
      </c>
      <c r="D67" s="252" t="s">
        <v>261</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164</v>
      </c>
      <c r="B69" s="252"/>
      <c r="C69" s="252"/>
      <c r="D69" s="252"/>
      <c r="E69" s="252"/>
      <c r="F69" s="252"/>
      <c r="G69" s="252"/>
      <c r="H69" s="252"/>
      <c r="I69" s="252"/>
      <c r="J69" s="252"/>
    </row>
    <row r="70" spans="1:10" ht="14.25" customHeight="1">
      <c r="A70" s="112"/>
      <c r="B70" s="252" t="s">
        <v>165</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166</v>
      </c>
      <c r="B72" s="252"/>
      <c r="C72" s="252"/>
      <c r="D72" s="252"/>
      <c r="E72" s="252"/>
      <c r="F72" s="252"/>
      <c r="G72" s="252"/>
      <c r="H72" s="252"/>
      <c r="I72" s="252"/>
      <c r="J72" s="252"/>
    </row>
    <row r="73" spans="1:10" ht="14.25" customHeight="1">
      <c r="A73" s="100"/>
      <c r="B73" s="252" t="s">
        <v>212</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167</v>
      </c>
      <c r="B75" s="252"/>
      <c r="C75" s="252"/>
      <c r="D75" s="252"/>
      <c r="E75" s="252"/>
      <c r="F75" s="252"/>
      <c r="G75" s="252"/>
      <c r="H75" s="252"/>
      <c r="I75" s="252"/>
      <c r="J75" s="252"/>
    </row>
    <row r="76" spans="1:10" ht="14.25" customHeight="1">
      <c r="A76" s="112"/>
      <c r="B76" s="128" t="s">
        <v>126</v>
      </c>
      <c r="C76" s="252" t="s">
        <v>256</v>
      </c>
      <c r="D76" s="252"/>
      <c r="E76" s="252"/>
      <c r="F76" s="252"/>
      <c r="G76" s="252"/>
      <c r="H76" s="252"/>
      <c r="I76" s="252"/>
      <c r="J76" s="252"/>
    </row>
    <row r="77" spans="3:10" ht="14.25" customHeight="1">
      <c r="C77" s="112" t="s">
        <v>161</v>
      </c>
      <c r="D77" s="253" t="s">
        <v>168</v>
      </c>
      <c r="E77" s="253"/>
      <c r="F77" s="253"/>
      <c r="G77" s="253"/>
      <c r="H77" s="253"/>
      <c r="I77" s="253"/>
      <c r="J77" s="253"/>
    </row>
    <row r="78" spans="3:10" ht="14.25" customHeight="1">
      <c r="C78" s="148"/>
      <c r="D78" s="253"/>
      <c r="E78" s="253"/>
      <c r="F78" s="253"/>
      <c r="G78" s="253"/>
      <c r="H78" s="253"/>
      <c r="I78" s="253"/>
      <c r="J78" s="253"/>
    </row>
    <row r="79" spans="3:10" ht="14.25" customHeight="1">
      <c r="C79" s="112" t="s">
        <v>163</v>
      </c>
      <c r="D79" s="253" t="s">
        <v>169</v>
      </c>
      <c r="E79" s="253"/>
      <c r="F79" s="253"/>
      <c r="G79" s="253"/>
      <c r="H79" s="253"/>
      <c r="I79" s="253"/>
      <c r="J79" s="253"/>
    </row>
    <row r="80" spans="3:10" ht="14.25" customHeight="1">
      <c r="C80" s="112" t="s">
        <v>170</v>
      </c>
      <c r="D80" s="253" t="s">
        <v>171</v>
      </c>
      <c r="E80" s="253"/>
      <c r="F80" s="253"/>
      <c r="G80" s="253"/>
      <c r="H80" s="253"/>
      <c r="I80" s="253"/>
      <c r="J80" s="253"/>
    </row>
    <row r="81" spans="3:10" ht="14.25" customHeight="1">
      <c r="C81" s="112"/>
      <c r="D81" s="253"/>
      <c r="E81" s="253"/>
      <c r="F81" s="253"/>
      <c r="G81" s="253"/>
      <c r="H81" s="253"/>
      <c r="I81" s="253"/>
      <c r="J81" s="253"/>
    </row>
    <row r="82" spans="3:10" ht="14.25" customHeight="1">
      <c r="C82" s="112" t="s">
        <v>172</v>
      </c>
      <c r="D82" s="253" t="s">
        <v>173</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174</v>
      </c>
      <c r="E84" s="253"/>
      <c r="F84" s="253"/>
      <c r="G84" s="253"/>
      <c r="H84" s="253"/>
      <c r="I84" s="253"/>
      <c r="J84" s="253"/>
    </row>
    <row r="85" spans="3:10" ht="14.25" customHeight="1">
      <c r="C85" s="97" t="s">
        <v>328</v>
      </c>
      <c r="D85" s="253" t="s">
        <v>175</v>
      </c>
      <c r="E85" s="253"/>
      <c r="F85" s="253"/>
      <c r="G85" s="253"/>
      <c r="H85" s="253"/>
      <c r="I85" s="253"/>
      <c r="J85" s="253"/>
    </row>
    <row r="86" spans="3:10" ht="14.25" customHeight="1">
      <c r="C86" s="97" t="s">
        <v>329</v>
      </c>
      <c r="D86" s="253" t="s">
        <v>176</v>
      </c>
      <c r="E86" s="253"/>
      <c r="F86" s="253"/>
      <c r="G86" s="253"/>
      <c r="H86" s="253"/>
      <c r="I86" s="253"/>
      <c r="J86" s="253"/>
    </row>
    <row r="87" spans="3:10" ht="14.25" customHeight="1">
      <c r="C87" s="97"/>
      <c r="D87" s="253"/>
      <c r="E87" s="253"/>
      <c r="F87" s="253"/>
      <c r="G87" s="253"/>
      <c r="H87" s="253"/>
      <c r="I87" s="253"/>
      <c r="J87" s="253"/>
    </row>
    <row r="88" spans="3:10" ht="14.25" customHeight="1">
      <c r="C88" s="97" t="s">
        <v>330</v>
      </c>
      <c r="D88" s="253" t="s">
        <v>177</v>
      </c>
      <c r="E88" s="253"/>
      <c r="F88" s="253"/>
      <c r="G88" s="253"/>
      <c r="H88" s="253"/>
      <c r="I88" s="253"/>
      <c r="J88" s="253"/>
    </row>
    <row r="89" spans="3:10" ht="14.25" customHeight="1">
      <c r="C89" s="114" t="s">
        <v>331</v>
      </c>
      <c r="D89" s="254" t="s">
        <v>332</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178</v>
      </c>
      <c r="C93" s="252" t="s">
        <v>257</v>
      </c>
      <c r="D93" s="252"/>
      <c r="E93" s="252"/>
      <c r="F93" s="252"/>
      <c r="G93" s="252"/>
      <c r="H93" s="252"/>
      <c r="I93" s="252"/>
      <c r="J93" s="252"/>
    </row>
    <row r="94" spans="1:10" ht="14.25" customHeight="1">
      <c r="A94" s="130"/>
      <c r="B94" s="130"/>
      <c r="C94" s="252" t="s">
        <v>179</v>
      </c>
      <c r="D94" s="252"/>
      <c r="E94" s="252"/>
      <c r="F94" s="252"/>
      <c r="G94" s="252"/>
      <c r="H94" s="252"/>
      <c r="I94" s="252"/>
      <c r="J94" s="252"/>
    </row>
    <row r="95" spans="1:10" ht="14.25" customHeight="1">
      <c r="A95" s="130"/>
      <c r="B95" s="130"/>
      <c r="C95" s="252" t="s">
        <v>180</v>
      </c>
      <c r="D95" s="252"/>
      <c r="E95" s="252"/>
      <c r="F95" s="252"/>
      <c r="G95" s="252"/>
      <c r="H95" s="252"/>
      <c r="I95" s="252"/>
      <c r="J95" s="252"/>
    </row>
    <row r="96" spans="1:10" ht="14.25" customHeight="1">
      <c r="A96" s="130"/>
      <c r="B96" s="130"/>
      <c r="C96" s="252" t="s">
        <v>181</v>
      </c>
      <c r="D96" s="252"/>
      <c r="E96" s="252"/>
      <c r="F96" s="252"/>
      <c r="G96" s="252"/>
      <c r="H96" s="252"/>
      <c r="I96" s="252"/>
      <c r="J96" s="252"/>
    </row>
    <row r="97" spans="3:10" ht="14.25" customHeight="1">
      <c r="C97" s="130" t="s">
        <v>161</v>
      </c>
      <c r="D97" s="252" t="s">
        <v>182</v>
      </c>
      <c r="E97" s="252"/>
      <c r="F97" s="252"/>
      <c r="G97" s="252"/>
      <c r="H97" s="252"/>
      <c r="I97" s="252"/>
      <c r="J97" s="252"/>
    </row>
    <row r="98" spans="3:10" ht="14.25" customHeight="1">
      <c r="C98" s="130" t="s">
        <v>163</v>
      </c>
      <c r="D98" s="252" t="s">
        <v>183</v>
      </c>
      <c r="E98" s="252"/>
      <c r="F98" s="252"/>
      <c r="G98" s="252"/>
      <c r="H98" s="252"/>
      <c r="I98" s="252"/>
      <c r="J98" s="252"/>
    </row>
    <row r="99" spans="3:10" ht="14.25" customHeight="1">
      <c r="C99" s="130" t="s">
        <v>170</v>
      </c>
      <c r="D99" s="252" t="s">
        <v>184</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185</v>
      </c>
      <c r="B101" s="252"/>
      <c r="C101" s="252"/>
      <c r="D101" s="252"/>
      <c r="E101" s="252"/>
      <c r="F101" s="252"/>
      <c r="G101" s="252"/>
      <c r="H101" s="252"/>
      <c r="I101" s="252"/>
      <c r="J101" s="252"/>
    </row>
    <row r="102" spans="2:10" ht="14.25" customHeight="1">
      <c r="B102" s="128" t="s">
        <v>126</v>
      </c>
      <c r="C102" s="253" t="s">
        <v>186</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161</v>
      </c>
      <c r="D105" s="252" t="s">
        <v>187</v>
      </c>
      <c r="E105" s="252"/>
      <c r="F105" s="252"/>
      <c r="G105" s="252"/>
      <c r="H105" s="252"/>
      <c r="I105" s="252"/>
      <c r="J105" s="252"/>
    </row>
    <row r="106" spans="2:10" ht="14.25" customHeight="1">
      <c r="B106" s="129"/>
      <c r="C106" s="130" t="s">
        <v>163</v>
      </c>
      <c r="D106" s="252" t="s">
        <v>188</v>
      </c>
      <c r="E106" s="252"/>
      <c r="F106" s="252"/>
      <c r="G106" s="252"/>
      <c r="H106" s="252"/>
      <c r="I106" s="252"/>
      <c r="J106" s="252"/>
    </row>
    <row r="107" spans="2:10" ht="14.25" customHeight="1">
      <c r="B107" s="129"/>
      <c r="C107" s="130" t="s">
        <v>170</v>
      </c>
      <c r="D107" s="252" t="s">
        <v>189</v>
      </c>
      <c r="E107" s="252"/>
      <c r="F107" s="252"/>
      <c r="G107" s="252"/>
      <c r="H107" s="252"/>
      <c r="I107" s="252"/>
      <c r="J107" s="252"/>
    </row>
    <row r="108" spans="1:10" ht="14.25" customHeight="1">
      <c r="A108" s="111"/>
      <c r="B108" s="128" t="s">
        <v>127</v>
      </c>
      <c r="C108" s="252" t="s">
        <v>190</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156</v>
      </c>
      <c r="C110" s="252" t="s">
        <v>191</v>
      </c>
      <c r="D110" s="252"/>
      <c r="E110" s="252"/>
      <c r="F110" s="252"/>
      <c r="G110" s="252"/>
      <c r="H110" s="252"/>
      <c r="I110" s="252"/>
      <c r="J110" s="252"/>
    </row>
    <row r="111" spans="1:10" ht="14.25" customHeight="1">
      <c r="A111" s="111"/>
      <c r="B111" s="128" t="s">
        <v>158</v>
      </c>
      <c r="C111" s="252" t="s">
        <v>192</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193</v>
      </c>
      <c r="B113" s="252"/>
      <c r="C113" s="252"/>
      <c r="D113" s="252"/>
      <c r="E113" s="252"/>
      <c r="F113" s="252"/>
      <c r="G113" s="252"/>
      <c r="H113" s="252"/>
      <c r="I113" s="252"/>
      <c r="J113" s="252"/>
    </row>
    <row r="114" spans="1:10" ht="14.25" customHeight="1">
      <c r="A114" s="130"/>
      <c r="B114" s="252" t="s">
        <v>194</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195</v>
      </c>
      <c r="B116" s="252"/>
      <c r="C116" s="252"/>
      <c r="D116" s="252"/>
      <c r="E116" s="252"/>
      <c r="F116" s="252"/>
      <c r="G116" s="252"/>
      <c r="H116" s="252"/>
      <c r="I116" s="252"/>
      <c r="J116" s="252"/>
    </row>
    <row r="117" spans="1:10" ht="14.25" customHeight="1">
      <c r="A117" s="130"/>
      <c r="B117" s="253" t="s">
        <v>326</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299</v>
      </c>
      <c r="B119" s="252"/>
      <c r="C119" s="252"/>
      <c r="D119" s="252"/>
      <c r="E119" s="252"/>
      <c r="F119" s="252"/>
      <c r="G119" s="252"/>
      <c r="H119" s="252"/>
      <c r="I119" s="252"/>
      <c r="J119" s="252"/>
    </row>
    <row r="120" spans="1:10" ht="14.25" customHeight="1">
      <c r="A120" s="111"/>
      <c r="B120" s="128" t="s">
        <v>126</v>
      </c>
      <c r="C120" s="252" t="s">
        <v>327</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127</v>
      </c>
      <c r="C122" s="252" t="s">
        <v>335</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156</v>
      </c>
      <c r="C124" s="253" t="s">
        <v>336</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319</v>
      </c>
      <c r="E126" s="255"/>
      <c r="F126" s="255"/>
      <c r="G126" s="255"/>
      <c r="H126" s="255"/>
      <c r="I126" s="255"/>
      <c r="J126" s="255"/>
    </row>
    <row r="127" spans="4:10" ht="14.25" customHeight="1">
      <c r="D127" s="252" t="s">
        <v>196</v>
      </c>
      <c r="E127" s="252"/>
      <c r="F127" s="252"/>
      <c r="G127" s="252"/>
      <c r="H127" s="252"/>
      <c r="I127" s="252"/>
      <c r="J127" s="252"/>
    </row>
    <row r="128" spans="4:10" ht="14.25" customHeight="1">
      <c r="D128" s="252" t="s">
        <v>197</v>
      </c>
      <c r="E128" s="252"/>
      <c r="F128" s="252"/>
      <c r="G128" s="252"/>
      <c r="H128" s="252"/>
      <c r="I128" s="252"/>
      <c r="J128" s="252"/>
    </row>
    <row r="129" spans="4:10" ht="14.25" customHeight="1">
      <c r="D129" s="252" t="s">
        <v>198</v>
      </c>
      <c r="E129" s="252"/>
      <c r="F129" s="252"/>
      <c r="G129" s="252"/>
      <c r="H129" s="252"/>
      <c r="I129" s="252"/>
      <c r="J129" s="252"/>
    </row>
    <row r="130" spans="4:10" ht="14.25" customHeight="1">
      <c r="D130" s="252" t="s">
        <v>199</v>
      </c>
      <c r="E130" s="252"/>
      <c r="F130" s="252"/>
      <c r="G130" s="252"/>
      <c r="H130" s="252"/>
      <c r="I130" s="252"/>
      <c r="J130" s="252"/>
    </row>
    <row r="131" spans="4:10" ht="14.25" customHeight="1">
      <c r="D131" s="252" t="s">
        <v>200</v>
      </c>
      <c r="E131" s="252"/>
      <c r="F131" s="252"/>
      <c r="G131" s="252"/>
      <c r="H131" s="252"/>
      <c r="I131" s="252"/>
      <c r="J131" s="252"/>
    </row>
    <row r="132" spans="4:10" ht="14.25" customHeight="1">
      <c r="D132" s="252" t="s">
        <v>201</v>
      </c>
      <c r="E132" s="252"/>
      <c r="F132" s="252"/>
      <c r="G132" s="252"/>
      <c r="H132" s="252"/>
      <c r="I132" s="252"/>
      <c r="J132" s="252"/>
    </row>
    <row r="133" spans="4:10" ht="14.25" customHeight="1">
      <c r="D133" s="112"/>
      <c r="E133" s="112"/>
      <c r="F133" s="132"/>
      <c r="G133" s="132"/>
      <c r="H133" s="132"/>
      <c r="I133" s="132"/>
      <c r="J133" s="112"/>
    </row>
    <row r="134" spans="1:10" ht="14.25" customHeight="1">
      <c r="A134" s="252" t="s">
        <v>202</v>
      </c>
      <c r="B134" s="252"/>
      <c r="C134" s="252"/>
      <c r="D134" s="252"/>
      <c r="E134" s="252"/>
      <c r="F134" s="252"/>
      <c r="G134" s="252"/>
      <c r="H134" s="252"/>
      <c r="I134" s="252"/>
      <c r="J134" s="252"/>
    </row>
    <row r="135" spans="2:10" ht="14.25" customHeight="1">
      <c r="B135" s="252" t="s">
        <v>203</v>
      </c>
      <c r="C135" s="252"/>
      <c r="D135" s="252"/>
      <c r="E135" s="252"/>
      <c r="F135" s="252"/>
      <c r="G135" s="252"/>
      <c r="H135" s="252"/>
      <c r="I135" s="252"/>
      <c r="J135" s="252"/>
    </row>
    <row r="136" spans="1:10" ht="14.25" customHeight="1">
      <c r="A136" s="111"/>
      <c r="B136" s="128" t="s">
        <v>126</v>
      </c>
      <c r="C136" s="252" t="s">
        <v>259</v>
      </c>
      <c r="D136" s="252"/>
      <c r="E136" s="252"/>
      <c r="F136" s="252"/>
      <c r="G136" s="252"/>
      <c r="H136" s="252"/>
      <c r="I136" s="252"/>
      <c r="J136" s="252"/>
    </row>
    <row r="137" spans="1:10" ht="14.25" customHeight="1">
      <c r="A137" s="130"/>
      <c r="C137" s="130"/>
      <c r="D137" s="252" t="s">
        <v>204</v>
      </c>
      <c r="E137" s="252"/>
      <c r="F137" s="252"/>
      <c r="G137" s="252"/>
      <c r="H137" s="252"/>
      <c r="I137" s="252"/>
      <c r="J137" s="252"/>
    </row>
    <row r="138" spans="4:10" ht="14.25" customHeight="1">
      <c r="D138" s="252" t="s">
        <v>205</v>
      </c>
      <c r="E138" s="252"/>
      <c r="F138" s="252"/>
      <c r="G138" s="252"/>
      <c r="H138" s="252"/>
      <c r="I138" s="252"/>
      <c r="J138" s="252"/>
    </row>
    <row r="139" spans="1:10" ht="14.25" customHeight="1">
      <c r="A139" s="111"/>
      <c r="B139" s="111"/>
      <c r="C139" s="111"/>
      <c r="D139" s="252" t="s">
        <v>206</v>
      </c>
      <c r="E139" s="252"/>
      <c r="F139" s="252"/>
      <c r="G139" s="252"/>
      <c r="H139" s="252"/>
      <c r="I139" s="252"/>
      <c r="J139" s="252"/>
    </row>
    <row r="140" spans="1:10" ht="14.25" customHeight="1">
      <c r="A140" s="111"/>
      <c r="B140" s="128" t="s">
        <v>127</v>
      </c>
      <c r="C140" s="252" t="s">
        <v>260</v>
      </c>
      <c r="D140" s="252"/>
      <c r="E140" s="252"/>
      <c r="F140" s="252"/>
      <c r="G140" s="252"/>
      <c r="H140" s="252"/>
      <c r="I140" s="252"/>
      <c r="J140" s="252"/>
    </row>
    <row r="141" spans="1:10" ht="14.25" customHeight="1">
      <c r="A141" s="111"/>
      <c r="B141" s="111"/>
      <c r="C141" s="253" t="s">
        <v>207</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208</v>
      </c>
      <c r="B144" s="252"/>
      <c r="C144" s="252"/>
      <c r="D144" s="252"/>
      <c r="E144" s="252"/>
      <c r="F144" s="252"/>
      <c r="G144" s="252"/>
      <c r="H144" s="252"/>
      <c r="I144" s="252"/>
      <c r="J144" s="252"/>
    </row>
    <row r="145" spans="1:10" ht="14.25" customHeight="1">
      <c r="A145" s="111"/>
      <c r="B145" s="128" t="s">
        <v>126</v>
      </c>
      <c r="C145" s="252" t="s">
        <v>209</v>
      </c>
      <c r="D145" s="252"/>
      <c r="E145" s="252"/>
      <c r="F145" s="252"/>
      <c r="G145" s="252"/>
      <c r="H145" s="252"/>
      <c r="I145" s="252"/>
      <c r="J145" s="252"/>
    </row>
    <row r="146" spans="1:10" ht="14.25" customHeight="1">
      <c r="A146" s="111"/>
      <c r="B146" s="128" t="s">
        <v>127</v>
      </c>
      <c r="C146" s="252" t="s">
        <v>210</v>
      </c>
      <c r="D146" s="252"/>
      <c r="E146" s="252"/>
      <c r="F146" s="252"/>
      <c r="G146" s="252"/>
      <c r="H146" s="252"/>
      <c r="I146" s="252"/>
      <c r="J146" s="252"/>
    </row>
    <row r="147" spans="1:10" ht="14.25" customHeight="1">
      <c r="A147" s="111"/>
      <c r="B147" s="128" t="s">
        <v>156</v>
      </c>
      <c r="C147" s="253" t="s">
        <v>211</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158</v>
      </c>
      <c r="C150" s="253" t="s">
        <v>258</v>
      </c>
      <c r="D150" s="253"/>
      <c r="E150" s="253"/>
      <c r="F150" s="253"/>
      <c r="G150" s="253"/>
      <c r="H150" s="253"/>
      <c r="I150" s="253"/>
      <c r="J150" s="253"/>
    </row>
    <row r="151" spans="1:10" ht="14.25" customHeight="1">
      <c r="A151" s="111"/>
      <c r="B151" s="128" t="s">
        <v>160</v>
      </c>
      <c r="C151" s="252" t="s">
        <v>262</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98</v>
      </c>
      <c r="G3" s="1" t="s">
        <v>48</v>
      </c>
      <c r="H3" s="1" t="s">
        <v>49</v>
      </c>
    </row>
    <row r="4" spans="1:8" ht="51.75" customHeight="1">
      <c r="A4" s="2" t="s">
        <v>86</v>
      </c>
      <c r="B4" s="3"/>
      <c r="C4" s="4"/>
      <c r="D4" s="5" t="s">
        <v>50</v>
      </c>
      <c r="E4" s="6" t="s">
        <v>96</v>
      </c>
      <c r="F4" s="86"/>
      <c r="G4" s="3"/>
      <c r="H4" s="7"/>
    </row>
    <row r="5" spans="1:8" ht="30" customHeight="1">
      <c r="A5" s="295" t="s">
        <v>99</v>
      </c>
      <c r="B5" s="329" t="s">
        <v>97</v>
      </c>
      <c r="C5" s="101" t="str">
        <f>IF('入力シート'!C32="適用","過去15年間の同種工事の施工実績（※1）","今回工事ではこの項目を適用しません。")</f>
        <v>過去15年間の同種工事の施工実績（※1）</v>
      </c>
      <c r="D5" s="303" t="str">
        <f>IF('入力シート'!C32="適用","１号","不要")</f>
        <v>１号</v>
      </c>
      <c r="E5" s="295" t="str">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85" t="str">
        <f>IF('入力シート'!C32="適用","施工実績を証明する書類","")</f>
        <v>施工実績を証明する書類</v>
      </c>
      <c r="G5" s="295" t="str">
        <f>IF('入力シート'!$C$32="適用","平成12年4月1日以降に完成した本市発注の同種工事の元請としての施工実績がある。","")</f>
        <v>平成12年4月1日以降に完成した本市発注の同種工事の元請としての施工実績がある。</v>
      </c>
      <c r="H5" s="316">
        <f>IF('入力シート'!$C$32="適用",4,"")</f>
        <v>4</v>
      </c>
    </row>
    <row r="6" spans="1:8" ht="59.25" customHeight="1">
      <c r="A6" s="301"/>
      <c r="B6" s="330"/>
      <c r="C6" s="301" t="str">
        <f>IF('入力シート'!C32="適用","同種工事："&amp;'入力シート'!E32,"")</f>
        <v>同種工事：管径３００ｍｍ以下の配水管布設工事</v>
      </c>
      <c r="D6" s="320"/>
      <c r="E6" s="301"/>
      <c r="F6" s="301" t="str">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322"/>
      <c r="H6" s="323"/>
    </row>
    <row r="7" spans="1:8" ht="93" customHeight="1">
      <c r="A7" s="301"/>
      <c r="B7" s="330"/>
      <c r="C7" s="301"/>
      <c r="D7" s="320"/>
      <c r="E7" s="301"/>
      <c r="F7" s="301"/>
      <c r="G7" s="139" t="str">
        <f>IF('入力シート'!$C$32="適用","平成12年4月1日以降に完成した本市発注以外の同種工事の元請としての施工実績がある。","")</f>
        <v>平成12年4月1日以降に完成した本市発注以外の同種工事の元請としての施工実績がある。</v>
      </c>
      <c r="H7" s="143">
        <f>IF('入力シート'!$C$32="適用",2,"")</f>
        <v>2</v>
      </c>
    </row>
    <row r="8" spans="1:8" ht="35.25" customHeight="1">
      <c r="A8" s="301"/>
      <c r="B8" s="331"/>
      <c r="C8" s="296"/>
      <c r="D8" s="304"/>
      <c r="E8" s="296"/>
      <c r="F8" s="296"/>
      <c r="G8" s="142" t="str">
        <f>IF('入力シート'!$C$32="適用","実績なし","")</f>
        <v>実績なし</v>
      </c>
      <c r="H8" s="145">
        <f>IF('入力シート'!$C$32="適用",0,"")</f>
        <v>0</v>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6月1日から、平成27年5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平成25年6月1日から、平成27年5月31日までに完成した本件工事と同一登録工種で評定点80点以上の本市発注工事が２件以上ある。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同一登録工種：上水道</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平成25年6月1日から、平成27年5月31日までに完成した本件工事と同一登録工種で評定点80点以上の本市発注工事が１件ある。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117</v>
      </c>
      <c r="C12" s="101" t="str">
        <f>IF('入力シート'!C34="適用","過去5年間の優良工事施工会社表彰の回数（※3）","今回工事ではこの項目を適用しません。")</f>
        <v>今回工事ではこの項目を適用しません。</v>
      </c>
      <c r="D12" s="303" t="str">
        <f>IF('入力シート'!C34="適用","１号","不要")</f>
        <v>不要</v>
      </c>
      <c r="E12" s="326">
        <f>IF('入力シート'!C34="適用","平成22年度以降に、本件工事と同一部門で本市における優良工事施工会社表彰を受けている場合に記入してください。","")</f>
      </c>
      <c r="F12" s="308">
        <f>IF('入力シート'!C34="適用","不要","")</f>
      </c>
      <c r="G12" s="141">
        <f>IF('入力シート'!$C$34="適用","平成22年度以降に、本件工事と同一部門で本市における優良工事施工会社表彰を２回以上受けている。","")</f>
      </c>
      <c r="H12" s="144">
        <f>IF('入力シート'!$C$34="適用",4,"")</f>
      </c>
    </row>
    <row r="13" spans="1:8" ht="54.75" customHeight="1">
      <c r="A13" s="301"/>
      <c r="B13" s="319"/>
      <c r="C13" s="301">
        <f>IF('入力シート'!C34="適用","表彰部門："&amp;'入力シート'!E34,"")</f>
      </c>
      <c r="D13" s="320"/>
      <c r="E13" s="327"/>
      <c r="F13" s="321"/>
      <c r="G13" s="139">
        <f>IF('入力シート'!$C$34="適用","平成22年度以降に、本件工事と同一部門で本市における優良工事施工会社表彰を１回受けている。","")</f>
      </c>
      <c r="H13" s="143">
        <f>IF('入力シート'!$C$34="適用",2,"")</f>
      </c>
    </row>
    <row r="14" spans="1:8" ht="19.5" customHeight="1">
      <c r="A14" s="301"/>
      <c r="B14" s="294"/>
      <c r="C14" s="296"/>
      <c r="D14" s="304"/>
      <c r="E14" s="328"/>
      <c r="F14" s="309"/>
      <c r="G14" s="142">
        <f>IF('入力シート'!$C$34="適用","該当なし","")</f>
      </c>
      <c r="H14" s="145">
        <f>IF('入力シート'!$C$34="適用",0,"")</f>
      </c>
    </row>
    <row r="15" spans="1:8" ht="17.25" customHeight="1">
      <c r="A15" s="301"/>
      <c r="B15" s="329" t="s">
        <v>112</v>
      </c>
      <c r="C15" s="275" t="str">
        <f>IF('入力シート'!C35="適用","配置予定技術者（入札公告に定める技術者）が有する過去15年間の同種工事の施工経験（※1）","今回工事ではこの項目を適用しません。")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303" t="str">
        <f>IF('入力シート'!C35="適用","１号","不要")</f>
        <v>１号</v>
      </c>
      <c r="E15" s="295" t="str">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5" s="85" t="str">
        <f>IF('入力シート'!C35="適用","施工経験を証明する書類","")</f>
        <v>施工経験を証明する書類</v>
      </c>
      <c r="G15" s="295" t="str">
        <f>IF('入力シート'!$C$35="適用","平成12年4月1日以降に完成した本市発注の同種工事の元請としての施工経験(主任技術者、監理技術者、現場代理人のうち、いずれかの経験)がある。","")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15" s="316">
        <f>IF('入力シート'!$C$35="適用",4,"")</f>
        <v>4</v>
      </c>
    </row>
    <row r="16" spans="1:8" ht="66.75" customHeight="1">
      <c r="A16" s="301"/>
      <c r="B16" s="330"/>
      <c r="C16" s="299"/>
      <c r="D16" s="320"/>
      <c r="E16" s="301"/>
      <c r="F16" s="301" t="str">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322"/>
      <c r="H16" s="323"/>
    </row>
    <row r="17" spans="1:8" ht="124.5" customHeight="1">
      <c r="A17" s="301"/>
      <c r="B17" s="330"/>
      <c r="C17" s="301" t="str">
        <f>IF('入力シート'!C35="適用","同種工事："&amp;'入力シート'!E35,"")</f>
        <v>同種工事：管径３００ｍｍ以下の配水管布設替工事</v>
      </c>
      <c r="D17" s="320"/>
      <c r="E17" s="301"/>
      <c r="F17" s="301"/>
      <c r="G17" s="139" t="str">
        <f>IF('入力シート'!$C$35="適用","平成12年4月1日以降に完成した本市発注以外の同種工事の元請としての施工経験(主任技術者、監理技術者、現場代理人のうち、いずれかの経験)がある。","")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17" s="143">
        <f>IF('入力シート'!$C$35="適用",2,"")</f>
        <v>2</v>
      </c>
    </row>
    <row r="18" spans="1:8" ht="60" customHeight="1">
      <c r="A18" s="301"/>
      <c r="B18" s="330"/>
      <c r="C18" s="301"/>
      <c r="D18" s="320"/>
      <c r="E18" s="301"/>
      <c r="F18" s="301"/>
      <c r="G18" s="312" t="str">
        <f>IF('入力シート'!$C$35="適用","該当なし","")</f>
        <v>該当なし</v>
      </c>
      <c r="H18" s="314">
        <f>IF('入力シート'!$C$35="適用",0,"")</f>
        <v>0</v>
      </c>
    </row>
    <row r="19" spans="1:8" ht="14.25" customHeight="1">
      <c r="A19" s="301"/>
      <c r="B19" s="330"/>
      <c r="C19" s="301"/>
      <c r="D19" s="320"/>
      <c r="E19" s="301"/>
      <c r="F19" s="198" t="str">
        <f>IF('入力シート'!C35="適用","技術者資格を証明する書類","")</f>
        <v>技術者資格を証明する書類</v>
      </c>
      <c r="G19" s="324"/>
      <c r="H19" s="325"/>
    </row>
    <row r="20" spans="1:8" ht="151.5" customHeight="1">
      <c r="A20" s="301"/>
      <c r="B20" s="331"/>
      <c r="C20" s="296"/>
      <c r="D20" s="304"/>
      <c r="E20" s="296"/>
      <c r="F20" s="104" t="str">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v>
      </c>
      <c r="G20" s="313"/>
      <c r="H20" s="315"/>
    </row>
    <row r="21" spans="1:8" ht="58.5" customHeight="1">
      <c r="A21" s="301"/>
      <c r="B21" s="293" t="s">
        <v>113</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118</v>
      </c>
      <c r="C23" s="101" t="str">
        <f>IF('入力シート'!C37="適用","過去5年間の配置予定現場代理人の横浜市優良工事現場責任者表彰の有無","今回工事ではこの項目を適用しません。")</f>
        <v>今回工事ではこの項目を適用しません。</v>
      </c>
      <c r="D23" s="303" t="str">
        <f>IF('入力シート'!C37="適用","１号","不要")</f>
        <v>不要</v>
      </c>
      <c r="E23" s="295">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23" s="308">
        <f>IF('入力シート'!C37="適用","不要","")</f>
      </c>
      <c r="G23" s="141">
        <f>IF('入力シート'!$C$37="適用","平成22年度以降に、配置予定現場代理人が本件工事と同一部門で横浜市優良工事現場責任者表彰を受けている。","")</f>
      </c>
      <c r="H23" s="144">
        <f>IF('入力シート'!$C$37="適用",2,"")</f>
      </c>
    </row>
    <row r="24" spans="1:8" ht="40.5" customHeight="1">
      <c r="A24" s="301"/>
      <c r="B24" s="319"/>
      <c r="C24" s="301">
        <f>IF('入力シート'!C37="適用","表彰部門："&amp;'入力シート'!E37,"")</f>
      </c>
      <c r="D24" s="320"/>
      <c r="E24" s="301"/>
      <c r="F24" s="321"/>
      <c r="G24" s="312">
        <f>IF('入力シート'!$C$37="適用","受けていない。","")</f>
      </c>
      <c r="H24" s="314">
        <f>IF('入力シート'!$C$37="適用",0,"")</f>
      </c>
    </row>
    <row r="25" spans="1:8" ht="12.75" customHeight="1">
      <c r="A25" s="301"/>
      <c r="B25" s="294"/>
      <c r="C25" s="296"/>
      <c r="D25" s="304"/>
      <c r="E25" s="296"/>
      <c r="F25" s="309"/>
      <c r="G25" s="313"/>
      <c r="H25" s="315"/>
    </row>
    <row r="26" spans="1:8" s="134" customFormat="1" ht="70.5" customHeight="1">
      <c r="A26" s="301"/>
      <c r="B26" s="275" t="s">
        <v>245</v>
      </c>
      <c r="C26" s="275" t="str">
        <f>IF('入力シート'!C38="適用","若手技術者の配置・専任指導技術者の実績（※6）","今回工事ではこの項目を適用しません。")</f>
        <v>若手技術者の配置・専任指導技術者の実績（※6）</v>
      </c>
      <c r="D26" s="277" t="str">
        <f>IF('入力シート'!C38="適用","１号","不要")</f>
        <v>１号</v>
      </c>
      <c r="E26" s="295"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7"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301"/>
      <c r="B27" s="299"/>
      <c r="C27" s="299"/>
      <c r="D27" s="300"/>
      <c r="E27" s="301"/>
      <c r="F27" s="318"/>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301"/>
      <c r="B28" s="299"/>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0"/>
      <c r="E28" s="295"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7"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316" t="str">
        <f>IF('入力シート'!$C$38="適用","該当する評価項目の配点による。","")</f>
        <v>該当する評価項目の配点による。</v>
      </c>
    </row>
    <row r="29" spans="1:8" s="134" customFormat="1" ht="79.5" customHeight="1">
      <c r="A29" s="301"/>
      <c r="B29" s="27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278"/>
      <c r="E29" s="296"/>
      <c r="F29" s="318"/>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15"/>
    </row>
    <row r="30" spans="1:8" ht="40.5" customHeight="1">
      <c r="A30" s="301"/>
      <c r="B30" s="293" t="s">
        <v>52</v>
      </c>
      <c r="C30" s="293" t="str">
        <f>IF('入力シート'!C39="適用","品質管理マネジメントシステム(ISO9001)の取得の有無","今回工事ではこの項目を適用しません。")</f>
        <v>今回工事ではこの項目を適用しません。</v>
      </c>
      <c r="D30" s="303" t="str">
        <f>IF('入力シート'!C39="適用","１号","不要")</f>
        <v>不要</v>
      </c>
      <c r="E30" s="295">
        <f>IF('入力シート'!C39="適用","評価の基準日（入札期間の最終日）時点で有効なISO9001を横浜市内の事業所を含む範囲で登録している場合に記入してください。またその内容を証明するために右記資料を添付してください。","")</f>
      </c>
      <c r="F30" s="305">
        <f>IF('入力シート'!C39="適用","登録証の写し及び登録範囲が証明できる付属書等の写し","")</f>
      </c>
      <c r="G30" s="141">
        <f>IF('入力シート'!$C$39="適用","ISO9001を横浜市内の事業所を含む範囲で登録している。","")</f>
      </c>
      <c r="H30" s="144">
        <f>IF('入力シート'!$C$39="適用",2,"")</f>
      </c>
    </row>
    <row r="31" spans="1:8" ht="41.25" customHeight="1">
      <c r="A31" s="301"/>
      <c r="B31" s="294"/>
      <c r="C31" s="294"/>
      <c r="D31" s="304"/>
      <c r="E31" s="296"/>
      <c r="F31" s="306"/>
      <c r="G31" s="142">
        <f>IF('入力シート'!$C$39="適用","登録していない。","")</f>
      </c>
      <c r="H31" s="145">
        <f>IF('入力シート'!$C$39="適用",0,"")</f>
      </c>
    </row>
    <row r="32" spans="1:8" ht="21.75" customHeight="1">
      <c r="A32" s="301"/>
      <c r="B32" s="275" t="s">
        <v>226</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114</v>
      </c>
      <c r="B34" s="293" t="s">
        <v>235</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3" t="str">
        <f>IF('入力シート'!C40="適用","１号","不要")</f>
        <v>１号</v>
      </c>
      <c r="E34" s="295"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5"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301"/>
      <c r="B35" s="294"/>
      <c r="C35" s="103" t="str">
        <f>IF('入力シート'!C40="適用","本項目における工事施工場所："&amp;'入力シート'!E40,"")</f>
        <v>本項目における工事施工場所：鶴見区</v>
      </c>
      <c r="D35" s="304"/>
      <c r="E35" s="296"/>
      <c r="F35" s="306"/>
      <c r="G35" s="142" t="str">
        <f>IF('入力シート'!$C$40="適用","上記以外","")</f>
        <v>上記以外</v>
      </c>
      <c r="H35" s="145">
        <f>IF('入力シート'!$C$40="適用",0,"")</f>
        <v>0</v>
      </c>
    </row>
    <row r="36" spans="1:8" ht="38.25" customHeight="1">
      <c r="A36" s="301"/>
      <c r="B36" s="293" t="s">
        <v>233</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IF('入力シート'!C42="適用","平成26年度横浜市災害協力事業者名簿の登載の有無を記入してください。","")</f>
        <v>平成26年度横浜市災害協力事業者名簿の登載の有無を記入してください。</v>
      </c>
      <c r="F36" s="308"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1"/>
      <c r="B37" s="294"/>
      <c r="C37" s="294"/>
      <c r="D37" s="304"/>
      <c r="E37" s="296"/>
      <c r="F37" s="309"/>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1"/>
      <c r="B38" s="293" t="s">
        <v>234</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230</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223</v>
      </c>
      <c r="C43" s="293" t="str">
        <f>IF('入力シート'!C46="適用","横浜型地域貢献企業の認定状況","今回工事ではこの項目を適用しません。")</f>
        <v>今回工事ではこの項目を適用しません。</v>
      </c>
      <c r="D43" s="277" t="str">
        <f>IF('入力シート'!C46="適用","１号","不要")</f>
        <v>不要</v>
      </c>
      <c r="E43" s="295">
        <f>IF('入力シート'!C46="適用","(公財)横浜企業経営支援財団の横浜型地域貢献企業の認定の有無を記入して下さい。","")</f>
      </c>
      <c r="F43" s="297">
        <f>IF('入力シート'!C46="適用","入札期間の最終日時点で有効な「横浜型地域貢献企業」認定証の写し（認定証の交付を受ける前においては、横浜型地域貢献企業の認定審査結果に係る通知書の写しでも可）","")</f>
      </c>
      <c r="G43" s="141">
        <f>IF('入力シート'!$C$46="適用","横浜型地域貢献企業に認定されている。","")</f>
      </c>
      <c r="H43" s="144">
        <f>IF('入力シート'!$C$46="適用",1,"")</f>
      </c>
    </row>
    <row r="44" spans="1:8" s="134" customFormat="1" ht="26.25" customHeight="1">
      <c r="A44" s="301"/>
      <c r="B44" s="276"/>
      <c r="C44" s="294"/>
      <c r="D44" s="278"/>
      <c r="E44" s="296"/>
      <c r="F44" s="298"/>
      <c r="G44" s="142">
        <f>IF('入力シート'!$C$46="適用","認定されていない。","")</f>
      </c>
      <c r="H44" s="145">
        <f>IF('入力シート'!$C$46="適用",0,"")</f>
      </c>
    </row>
    <row r="45" spans="1:8" s="134" customFormat="1" ht="28.5" customHeight="1">
      <c r="A45" s="301"/>
      <c r="B45" s="275" t="s">
        <v>229</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227</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241</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18</v>
      </c>
    </row>
    <row r="53" ht="4.5" customHeight="1"/>
    <row r="54" spans="1:8" s="136" customFormat="1" ht="18.75" customHeight="1">
      <c r="A54" s="135" t="s">
        <v>148</v>
      </c>
      <c r="B54" s="270" t="s">
        <v>213</v>
      </c>
      <c r="C54" s="270"/>
      <c r="D54" s="270"/>
      <c r="E54" s="270"/>
      <c r="F54" s="270"/>
      <c r="G54" s="270"/>
      <c r="H54" s="270"/>
    </row>
    <row r="55" spans="1:8" s="136" customFormat="1" ht="18.75" customHeight="1">
      <c r="A55" s="135" t="s">
        <v>150</v>
      </c>
      <c r="B55" s="271" t="s">
        <v>324</v>
      </c>
      <c r="C55" s="271"/>
      <c r="D55" s="271"/>
      <c r="E55" s="271"/>
      <c r="F55" s="271"/>
      <c r="G55" s="271"/>
      <c r="H55" s="271"/>
    </row>
    <row r="56" spans="1:8" s="136" customFormat="1" ht="18.75" customHeight="1">
      <c r="A56" s="135" t="s">
        <v>214</v>
      </c>
      <c r="B56" s="271" t="s">
        <v>215</v>
      </c>
      <c r="C56" s="271"/>
      <c r="D56" s="271"/>
      <c r="E56" s="271"/>
      <c r="F56" s="271"/>
      <c r="G56" s="271"/>
      <c r="H56" s="271"/>
    </row>
    <row r="57" spans="1:8" s="136" customFormat="1" ht="18.75" customHeight="1">
      <c r="A57" s="135" t="s">
        <v>216</v>
      </c>
      <c r="B57" s="270" t="s">
        <v>217</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218</v>
      </c>
      <c r="B60" s="270" t="s">
        <v>219</v>
      </c>
      <c r="C60" s="270"/>
      <c r="D60" s="270"/>
      <c r="E60" s="270"/>
      <c r="F60" s="270"/>
      <c r="G60" s="270"/>
      <c r="H60" s="270"/>
    </row>
    <row r="61" spans="1:8" s="136" customFormat="1" ht="18.75" customHeight="1">
      <c r="A61" s="135" t="s">
        <v>220</v>
      </c>
      <c r="B61" s="270" t="s">
        <v>221</v>
      </c>
      <c r="C61" s="270"/>
      <c r="D61" s="270"/>
      <c r="E61" s="270"/>
      <c r="F61" s="270"/>
      <c r="G61" s="270"/>
      <c r="H61" s="270"/>
    </row>
    <row r="62" spans="1:8" s="134" customFormat="1" ht="18.75" customHeight="1">
      <c r="A62" s="135" t="s">
        <v>222</v>
      </c>
      <c r="B62" s="270" t="s">
        <v>249</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288</v>
      </c>
      <c r="B64" s="270" t="s">
        <v>325</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289</v>
      </c>
      <c r="B67" s="270" t="s">
        <v>290</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95</v>
      </c>
      <c r="E7" s="361"/>
      <c r="F7" s="68">
        <f>'入力シート'!E12</f>
        <v>56789</v>
      </c>
    </row>
    <row r="8" spans="4:6" ht="18" customHeight="1">
      <c r="D8" s="362" t="s">
        <v>72</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85</v>
      </c>
      <c r="B13" s="363"/>
      <c r="C13" s="363"/>
      <c r="D13" s="363"/>
      <c r="E13" s="363"/>
      <c r="F13" s="363"/>
    </row>
    <row r="14" spans="1:6" ht="8.25" customHeight="1">
      <c r="A14" s="74"/>
      <c r="B14" s="74"/>
      <c r="C14" s="74"/>
      <c r="D14" s="74"/>
      <c r="E14" s="74"/>
      <c r="F14" s="74"/>
    </row>
    <row r="15" spans="1:7" ht="18.75" customHeight="1">
      <c r="A15" s="74" t="s">
        <v>73</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東寺尾五丁目ほか２か所口径７５ｍｍから３００ｍｍ配水管布設替工事</v>
      </c>
      <c r="D17" s="70"/>
      <c r="E17" s="70"/>
      <c r="F17" s="71"/>
      <c r="G17" s="66"/>
    </row>
    <row r="18" spans="1:7" ht="5.25" customHeight="1">
      <c r="A18" s="167"/>
      <c r="B18" s="167"/>
      <c r="C18" s="72"/>
      <c r="D18" s="72"/>
      <c r="E18" s="72"/>
      <c r="F18" s="73"/>
      <c r="G18" s="66"/>
    </row>
    <row r="19" spans="1:6" ht="15.75" customHeight="1">
      <c r="A19" s="355" t="s">
        <v>287</v>
      </c>
      <c r="B19" s="355"/>
      <c r="C19" s="355"/>
      <c r="D19" s="355"/>
      <c r="E19" s="355"/>
      <c r="F19" s="355"/>
    </row>
    <row r="20" spans="1:6" ht="17.25" customHeight="1">
      <c r="A20" s="196" t="s">
        <v>0</v>
      </c>
      <c r="B20" s="197" t="s">
        <v>71</v>
      </c>
      <c r="C20" s="339" t="s">
        <v>74</v>
      </c>
      <c r="D20" s="339"/>
      <c r="E20" s="339"/>
      <c r="F20" s="195" t="s">
        <v>280</v>
      </c>
    </row>
    <row r="21" spans="1:6" ht="33" customHeight="1">
      <c r="A21" s="383" t="s">
        <v>3</v>
      </c>
      <c r="B21" s="334" t="str">
        <f>'入力シート'!C32</f>
        <v>適用</v>
      </c>
      <c r="C21" s="62" t="str">
        <f>IF('入力シート'!$C$32="適用","同種工事","")</f>
        <v>同種工事</v>
      </c>
      <c r="D21" s="386" t="str">
        <f>IF('入力シート'!$C$32="適用",'入力シート'!E32,"")</f>
        <v>管径３００ｍｍ以下の配水管布設工事</v>
      </c>
      <c r="E21" s="387"/>
      <c r="F21" s="208" t="str">
        <f>IF('入力シート'!$C$32="適用","変更不可","")</f>
        <v>変更不可</v>
      </c>
    </row>
    <row r="22" spans="1:6" ht="48" customHeight="1">
      <c r="A22" s="384"/>
      <c r="B22" s="334"/>
      <c r="C22" s="62" t="str">
        <f>IF('入力シート'!$C$32="適用","工事名","")</f>
        <v>工事名</v>
      </c>
      <c r="D22" s="337"/>
      <c r="E22" s="369"/>
      <c r="F22" s="365" t="str">
        <f>IF('入力シート'!$C$32="適用","添付資料欄には「同種工事」の施工実績を証明するために添付する資料名を記入してください。添付資料の内容と相違を生じないように工事名、契約金額を記入してください。","")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23" spans="1:6" ht="12">
      <c r="A23" s="384"/>
      <c r="B23" s="334"/>
      <c r="C23" s="173" t="str">
        <f>IF('入力シート'!$C$32="適用","契約金額(税込み)","")</f>
        <v>契約金額(税込み)</v>
      </c>
      <c r="D23" s="337"/>
      <c r="E23" s="369"/>
      <c r="F23" s="366"/>
    </row>
    <row r="24" spans="1:6" ht="28.5" customHeight="1">
      <c r="A24" s="385"/>
      <c r="B24" s="334"/>
      <c r="C24" s="62" t="str">
        <f>IF('入力シート'!$C$32="適用","添付資料","")</f>
        <v>添付資料</v>
      </c>
      <c r="D24" s="353"/>
      <c r="E24" s="368"/>
      <c r="F24" s="367"/>
    </row>
    <row r="25" spans="1:6" ht="13.5" customHeight="1">
      <c r="A25" s="364" t="s">
        <v>90</v>
      </c>
      <c r="B25" s="334" t="str">
        <f>'入力シート'!C33</f>
        <v>適用</v>
      </c>
      <c r="C25" s="62" t="str">
        <f>IF('入力シート'!$C$33="適用","同一登録工種","")</f>
        <v>同一登録工種</v>
      </c>
      <c r="D25" s="374" t="str">
        <f>IF('入力シート'!$C$33="適用",'入力シート'!E33,"")</f>
        <v>上水道</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119</v>
      </c>
      <c r="B30" s="351" t="str">
        <f>'入力シート'!C34</f>
        <v>不適用</v>
      </c>
      <c r="C30" s="62">
        <f>IF('入力シート'!$C$34="適用","部門","")</f>
      </c>
      <c r="D30" s="377">
        <f>IF('入力シート'!$C$34="適用",'入力シート'!E34,"")</f>
      </c>
      <c r="E30" s="378"/>
      <c r="F30" s="208">
        <f>IF('入力シート'!$C$34="適用","変更不可","")</f>
      </c>
    </row>
    <row r="31" spans="1:6" ht="14.25" customHeight="1">
      <c r="A31" s="393"/>
      <c r="B31" s="352"/>
      <c r="C31" s="376">
        <f>IF('入力シート'!$C$34="適用","表彰年度","")</f>
      </c>
      <c r="D31" s="62">
        <f>IF('入力シート'!$C$34="適用","表彰１","")</f>
      </c>
      <c r="E31" s="169"/>
      <c r="F31" s="170"/>
    </row>
    <row r="32" spans="1:6" ht="14.25" customHeight="1">
      <c r="A32" s="394"/>
      <c r="B32" s="381"/>
      <c r="C32" s="376">
        <f>IF('入力シート'!$C$34="適用","部門","")</f>
      </c>
      <c r="D32" s="62">
        <f>IF('入力シート'!$C$34="適用","表彰２","")</f>
      </c>
      <c r="E32" s="169"/>
      <c r="F32" s="171"/>
    </row>
    <row r="33" spans="1:6" ht="24.75" customHeight="1">
      <c r="A33" s="364" t="s">
        <v>91</v>
      </c>
      <c r="B33" s="351" t="str">
        <f>'入力シート'!C35</f>
        <v>適用</v>
      </c>
      <c r="C33" s="62" t="str">
        <f>IF('入力シート'!$C$35="適用","同種工事","")</f>
        <v>同種工事</v>
      </c>
      <c r="D33" s="386" t="str">
        <f>IF('入力シート'!$C$35="適用",'入力シート'!E35,"")</f>
        <v>管径３００ｍｍ以下の配水管布設替工事</v>
      </c>
      <c r="E33" s="387"/>
      <c r="F33" s="208" t="str">
        <f>IF('入力シート'!$C$35="適用","変更不可","")</f>
        <v>変更不可</v>
      </c>
    </row>
    <row r="34" spans="1:6" ht="24.75" customHeight="1">
      <c r="A34" s="364"/>
      <c r="B34" s="352"/>
      <c r="C34" s="62" t="str">
        <f>IF('入力シート'!$C$35="適用","技術者氏名","")</f>
        <v>技術者氏名</v>
      </c>
      <c r="D34" s="372">
        <f>IF('入力シート'!$C$35="適用",C75&amp;B79,"")</f>
      </c>
      <c r="E34" s="373"/>
      <c r="F34" s="133" t="str">
        <f>IF('入力シート'!$C$35="適用","評価を希望する場合は「☆配置予定技術者氏名等記入欄」に氏名を記入してください。","")</f>
        <v>評価を希望する場合は「☆配置予定技術者氏名等記入欄」に氏名を記入してください。</v>
      </c>
    </row>
    <row r="35" spans="1:6" ht="31.5" customHeight="1">
      <c r="A35" s="364"/>
      <c r="B35" s="352"/>
      <c r="C35" s="62" t="str">
        <f>IF('入力シート'!$C$35="適用","工事名","")</f>
        <v>工事名</v>
      </c>
      <c r="D35" s="369"/>
      <c r="E35" s="371"/>
      <c r="F35" s="400" t="str">
        <f>IF('入力シート'!$C$35="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36" spans="1:6" ht="27" customHeight="1">
      <c r="A36" s="364"/>
      <c r="B36" s="352"/>
      <c r="C36" s="174" t="str">
        <f>IF('入力シート'!$C$35="適用","契約金額(税込み)","")</f>
        <v>契約金額(税込み)</v>
      </c>
      <c r="D36" s="369"/>
      <c r="E36" s="371"/>
      <c r="F36" s="401"/>
    </row>
    <row r="37" spans="1:6" ht="54.75" customHeight="1">
      <c r="A37" s="364"/>
      <c r="B37" s="352"/>
      <c r="C37" s="174" t="str">
        <f>IF('入力シート'!$C$35="適用","添付資料","")</f>
        <v>添付資料</v>
      </c>
      <c r="D37" s="369"/>
      <c r="E37" s="371"/>
      <c r="F37" s="200" t="str">
        <f>IF(AND('入力シート'!$C$35="適用",'入力シート'!$C$38="適用"),"専任指導技術者の施工経験を記入することができます。その場合、「☆専任指導技術者氏名記入欄」に氏名を記入した上で、下欄に「する」と記入してください。","")</f>
        <v>専任指導技術者の施工経験を記入することができます。その場合、「☆専任指導技術者氏名記入欄」に氏名を記入した上で、下欄に「する」と記入してください。</v>
      </c>
    </row>
    <row r="38" spans="1:6" ht="54.75" customHeight="1">
      <c r="A38" s="364"/>
      <c r="B38" s="352"/>
      <c r="C38" s="61" t="str">
        <f>IF('入力シート'!$C$35="適用","専任指導技術者での評価","")</f>
        <v>専任指導技術者での評価</v>
      </c>
      <c r="D38" s="192"/>
      <c r="E38" s="404" t="str">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専任指導技術者の施工経験での評価の［する、しない］を記入してください。「する」の場合でも若手技術者が入札公告で定める技術者の要件を満たしている必要があります。</v>
      </c>
      <c r="F38" s="405"/>
    </row>
    <row r="39" spans="1:6" ht="33" customHeight="1">
      <c r="A39" s="364"/>
      <c r="B39" s="381"/>
      <c r="C39" s="61" t="str">
        <f>IF('入力シート'!$C$35="適用","専任指導技術者氏名","")</f>
        <v>専任指導技術者氏名</v>
      </c>
      <c r="D39" s="201">
        <f>IF('入力シート'!$C$35="適用",IF(D38="する",D52,""),"")</f>
      </c>
      <c r="E39" s="404" t="str">
        <f>IF(AND('入力シート'!$C$35="適用",'入力シート'!$C$38="適用"),"専任指導技術者の実績で評価を希望する場合は評価項目「若手技術者の育成」にて「専任指導技術者の追加配置」を「する」にしてください。","")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39" s="405"/>
    </row>
    <row r="40" spans="1:7" ht="46.5" customHeight="1">
      <c r="A40" s="364" t="s">
        <v>320</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120</v>
      </c>
      <c r="B43" s="351" t="str">
        <f>'入力シート'!C37</f>
        <v>不適用</v>
      </c>
      <c r="C43" s="62">
        <f>IF('入力シート'!$C$37="適用","部門","")</f>
      </c>
      <c r="D43" s="377">
        <f>IF('入力シート'!$C$37="適用",'入力シート'!E37,"")</f>
      </c>
      <c r="E43" s="378"/>
      <c r="F43" s="208">
        <f>IF('入力シート'!$C$37="適用","変更不可","")</f>
      </c>
    </row>
    <row r="44" spans="1:6" ht="14.25" customHeight="1">
      <c r="A44" s="364"/>
      <c r="B44" s="352"/>
      <c r="C44" s="62">
        <f>IF('入力シート'!$C$37="適用","表彰年度","")</f>
      </c>
      <c r="D44" s="194"/>
      <c r="E44" s="399"/>
      <c r="F44" s="399"/>
    </row>
    <row r="45" spans="1:6" ht="14.25" customHeight="1">
      <c r="A45" s="364"/>
      <c r="B45" s="352"/>
      <c r="C45" s="406">
        <f>IF('入力シート'!$C$37="適用","現場代理人氏名","")</f>
      </c>
      <c r="D45" s="397">
        <f>IF('入力シート'!$C$37="適用",C95,"")</f>
      </c>
      <c r="E45" s="395">
        <f>IF('入力シート'!$C$37="適用","評価を希望する場合は「☆配置予定現場代理人氏名記入欄」に氏名を記入してください。","")</f>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f>IF('入力シート'!$C$37="適用","専任指導技術者での評価","")</f>
      </c>
      <c r="D47" s="192"/>
      <c r="E47" s="341">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c>
      <c r="F47" s="341"/>
    </row>
    <row r="48" spans="1:6" ht="32.25" customHeight="1">
      <c r="A48" s="364"/>
      <c r="B48" s="381"/>
      <c r="C48" s="61">
        <f>IF('入力シート'!$C$37="適用","専任指導技術者氏名","")</f>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232</v>
      </c>
      <c r="B49" s="351" t="str">
        <f>'入力シート'!C38</f>
        <v>適用</v>
      </c>
      <c r="C49" s="138" t="str">
        <f>IF('入力シート'!$C$38="適用","若手技術者の配置","")</f>
        <v>若手技術者の配置</v>
      </c>
      <c r="D49" s="192"/>
      <c r="E49" s="408"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408"/>
    </row>
    <row r="50" spans="1:6" ht="30.75" customHeight="1">
      <c r="A50" s="350"/>
      <c r="B50" s="352"/>
      <c r="C50" s="138" t="str">
        <f>IF('入力シート'!$C$38="適用","若手技術者氏名","")</f>
        <v>若手技術者氏名</v>
      </c>
      <c r="D50" s="372">
        <f>IF('入力シート'!$C$38="適用",IF(D49="する",C75&amp;B79,""),"")</f>
      </c>
      <c r="E50" s="373"/>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350"/>
      <c r="B51" s="352"/>
      <c r="C51" s="138" t="str">
        <f>IF('入力シート'!$C$38="適用","専任指導技術者の追加配置","")</f>
        <v>専任指導技術者の追加配置</v>
      </c>
      <c r="D51" s="192"/>
      <c r="E51" s="408"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408"/>
    </row>
    <row r="52" spans="1:8" ht="27.75" customHeight="1">
      <c r="A52" s="350"/>
      <c r="B52" s="352"/>
      <c r="C52" s="207" t="str">
        <f>IF('入力シート'!$C$38="適用","専任指導技術者氏名","")</f>
        <v>専任指導技術者氏名</v>
      </c>
      <c r="D52" s="372">
        <f>IF('入力シート'!$C$38="適用",IF(AND(D51="する",D49="する"),C90,""),"")</f>
      </c>
      <c r="E52" s="373"/>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64" t="s">
        <v>92</v>
      </c>
      <c r="B53" s="351" t="str">
        <f>'入力シート'!C39</f>
        <v>不適用</v>
      </c>
      <c r="C53" s="133">
        <f>IF('入力シート'!$C$39="適用","ISO9001の登録","")</f>
      </c>
      <c r="D53" s="369"/>
      <c r="E53" s="371"/>
      <c r="F53" s="209">
        <f>IF('入力シート'!$C$39="適用","［有、無］　のどちらかを記入してください。","")</f>
      </c>
    </row>
    <row r="54" spans="1:6" ht="20.25" customHeight="1">
      <c r="A54" s="364"/>
      <c r="B54" s="381"/>
      <c r="C54" s="61">
        <f>IF('入力シート'!$C$39="適用","添付書類","")</f>
      </c>
      <c r="D54" s="390">
        <f>IF('入力シート'!$C$39="適用","登録証の写し及び登録範囲が確認できる付属書等の写し","")</f>
      </c>
      <c r="E54" s="391"/>
      <c r="F54" s="208">
        <f>IF('入力シート'!$C$39="適用","変更不可","")</f>
      </c>
    </row>
    <row r="55" spans="1:6" ht="18" customHeight="1">
      <c r="A55" s="364" t="s">
        <v>235</v>
      </c>
      <c r="B55" s="351" t="str">
        <f>'入力シート'!C40</f>
        <v>適用</v>
      </c>
      <c r="C55" s="61" t="str">
        <f>IF('入力シート'!$C$40="適用","工事施工場所","")</f>
        <v>工事施工場所</v>
      </c>
      <c r="D55" s="404" t="str">
        <f>IF('入力シート'!$C$40="適用",'入力シート'!E40,"")</f>
        <v>鶴見区</v>
      </c>
      <c r="E55" s="405"/>
      <c r="F55" s="208" t="str">
        <f>IF('入力シート'!$C$40="適用","変更不可","")</f>
        <v>変更不可</v>
      </c>
    </row>
    <row r="56" spans="1:6" ht="22.5" customHeight="1">
      <c r="A56" s="364"/>
      <c r="B56" s="352"/>
      <c r="C56" s="150" t="str">
        <f>IF('入力シート'!$C$40="適用","主たる営業所の所在地","")</f>
        <v>主たる営業所の所在地</v>
      </c>
      <c r="D56" s="337"/>
      <c r="E56" s="337"/>
      <c r="F56" s="61"/>
    </row>
    <row r="57" spans="1:6" ht="18" customHeight="1">
      <c r="A57" s="364"/>
      <c r="B57" s="381"/>
      <c r="C57" s="61" t="str">
        <f>IF('入力シート'!$C$40="適用","添付資料","")</f>
        <v>添付資料</v>
      </c>
      <c r="D57" s="337"/>
      <c r="E57" s="337"/>
      <c r="F57" s="61" t="str">
        <f>IF('入力シート'!$C$40="適用","添付する資料名を記入してください。","")</f>
        <v>添付する資料名を記入してください。</v>
      </c>
    </row>
    <row r="58" spans="1:6" ht="29.25" customHeight="1">
      <c r="A58" s="133" t="s">
        <v>236</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234</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237</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223</v>
      </c>
      <c r="B62" s="351" t="str">
        <f>'入力シート'!C46</f>
        <v>不適用</v>
      </c>
      <c r="C62" s="137">
        <f>IF('入力シート'!$C$46="適用","横浜型地域貢献企業の認定","")</f>
      </c>
      <c r="D62" s="369"/>
      <c r="E62" s="371"/>
      <c r="F62" s="209">
        <f>IF('入力シート'!$C$46="適用","［有、無］　のどちらかを記入してください。","")</f>
      </c>
    </row>
    <row r="63" spans="1:6" ht="18" customHeight="1">
      <c r="A63" s="385"/>
      <c r="B63" s="381"/>
      <c r="C63" s="133">
        <f>IF('入力シート'!$C$46="適用","添付書類","")</f>
      </c>
      <c r="D63" s="390">
        <f>IF('入力シート'!$C$46="適用","認定証の写し","")</f>
      </c>
      <c r="E63" s="391"/>
      <c r="F63" s="208">
        <f>IF('入力シート'!$C$46="適用","変更不可","")</f>
      </c>
    </row>
    <row r="64" spans="1:6" ht="18.75" customHeight="1">
      <c r="A64" s="357" t="s">
        <v>238</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322</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317</v>
      </c>
      <c r="B74" s="339"/>
      <c r="C74" s="339"/>
      <c r="D74" s="339"/>
      <c r="E74" s="339"/>
      <c r="F74" s="210" t="s">
        <v>280</v>
      </c>
      <c r="G74" s="66"/>
    </row>
    <row r="75" spans="1:7" ht="22.5">
      <c r="A75" s="334" t="s">
        <v>277</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316</v>
      </c>
    </row>
    <row r="76" spans="1:7" ht="17.25" customHeight="1">
      <c r="A76" s="334" t="s">
        <v>298</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8" t="s">
        <v>318</v>
      </c>
      <c r="B78" s="339"/>
      <c r="C78" s="339"/>
      <c r="D78" s="339"/>
      <c r="E78" s="339"/>
      <c r="F78" s="210" t="s">
        <v>280</v>
      </c>
    </row>
    <row r="79" spans="1:6" ht="22.5">
      <c r="A79" s="213" t="s">
        <v>277</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40" t="s">
        <v>285</v>
      </c>
      <c r="B80" s="348" t="s">
        <v>283</v>
      </c>
      <c r="C80" s="349"/>
      <c r="D80" s="342"/>
      <c r="E80" s="344"/>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41"/>
      <c r="B81" s="348" t="s">
        <v>284</v>
      </c>
      <c r="C81" s="349"/>
      <c r="D81" s="342"/>
      <c r="E81" s="344"/>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40" t="s">
        <v>286</v>
      </c>
      <c r="B82" s="342"/>
      <c r="C82" s="343"/>
      <c r="D82" s="343"/>
      <c r="E82" s="344"/>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41"/>
      <c r="B83" s="345" t="s">
        <v>279</v>
      </c>
      <c r="C83" s="345"/>
      <c r="D83" s="346" t="str">
        <f>IF(OR('入力シート'!C37="適用",'入力シート'!C38="適用",'入力シート'!C40="適用"),"実務経験証明書第２号様式、卒業証明書の写し","")</f>
        <v>実務経験証明書第２号様式、卒業証明書の写し</v>
      </c>
      <c r="E83" s="347"/>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356" t="s">
        <v>278</v>
      </c>
      <c r="B84" s="343"/>
      <c r="C84" s="343"/>
      <c r="D84" s="343"/>
      <c r="E84" s="344"/>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356"/>
      <c r="B85" s="345" t="s">
        <v>279</v>
      </c>
      <c r="C85" s="345"/>
      <c r="D85" s="411"/>
      <c r="E85" s="411"/>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315</v>
      </c>
    </row>
    <row r="87" spans="1:13" ht="4.5" customHeight="1">
      <c r="A87" s="206"/>
      <c r="B87" s="72"/>
      <c r="C87" s="72"/>
      <c r="D87" s="72"/>
      <c r="E87" s="72"/>
      <c r="F87" s="72"/>
      <c r="G87" s="79"/>
      <c r="H87" s="79"/>
      <c r="I87" s="79"/>
      <c r="J87" s="79"/>
      <c r="K87" s="79"/>
      <c r="L87" s="79"/>
      <c r="M87" s="79"/>
    </row>
    <row r="88" spans="1:13" ht="15.75" customHeight="1">
      <c r="A88" s="206" t="s">
        <v>323</v>
      </c>
      <c r="B88" s="72"/>
      <c r="C88" s="72"/>
      <c r="D88" s="72"/>
      <c r="E88" s="72"/>
      <c r="F88" s="72"/>
      <c r="G88" s="79"/>
      <c r="H88" s="79"/>
      <c r="I88" s="79"/>
      <c r="J88" s="79"/>
      <c r="K88" s="79"/>
      <c r="L88" s="79"/>
      <c r="M88" s="79"/>
    </row>
    <row r="89" spans="1:13" ht="15.75" customHeight="1">
      <c r="A89" s="338" t="s">
        <v>281</v>
      </c>
      <c r="B89" s="339"/>
      <c r="C89" s="339"/>
      <c r="D89" s="339"/>
      <c r="E89" s="339"/>
      <c r="F89" s="210" t="s">
        <v>280</v>
      </c>
      <c r="G89" s="79"/>
      <c r="H89" s="79"/>
      <c r="I89" s="79"/>
      <c r="J89" s="79"/>
      <c r="K89" s="79"/>
      <c r="L89" s="79"/>
      <c r="M89" s="79"/>
    </row>
    <row r="90" spans="1:6" ht="17.25" customHeight="1">
      <c r="A90" s="377" t="s">
        <v>277</v>
      </c>
      <c r="B90" s="382"/>
      <c r="C90" s="337"/>
      <c r="D90" s="337"/>
      <c r="E90" s="337"/>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334</v>
      </c>
      <c r="B93" s="72"/>
      <c r="C93" s="72"/>
      <c r="D93" s="72"/>
      <c r="E93" s="72"/>
      <c r="F93" s="72"/>
      <c r="G93" s="79"/>
      <c r="H93" s="79"/>
      <c r="I93" s="79"/>
      <c r="J93" s="79"/>
      <c r="K93" s="79"/>
      <c r="L93" s="79"/>
      <c r="M93" s="79"/>
    </row>
    <row r="94" spans="1:13" ht="15.75" customHeight="1">
      <c r="A94" s="388" t="s">
        <v>282</v>
      </c>
      <c r="B94" s="389"/>
      <c r="C94" s="389"/>
      <c r="D94" s="389"/>
      <c r="E94" s="389"/>
      <c r="F94" s="210" t="s">
        <v>280</v>
      </c>
      <c r="G94" s="79"/>
      <c r="H94" s="79"/>
      <c r="I94" s="79"/>
      <c r="J94" s="79"/>
      <c r="K94" s="79"/>
      <c r="L94" s="79"/>
      <c r="M94" s="79"/>
    </row>
    <row r="95" spans="1:6" ht="17.25" customHeight="1">
      <c r="A95" s="377" t="s">
        <v>277</v>
      </c>
      <c r="B95" s="382"/>
      <c r="C95" s="337"/>
      <c r="D95" s="337"/>
      <c r="E95" s="337"/>
      <c r="F95" s="212" t="str">
        <f>IF('入力シート'!C37="適用","評価を希望しない場合は記入不要です。","記入不要です。")</f>
        <v>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333</v>
      </c>
      <c r="G1" s="431"/>
    </row>
    <row r="2" spans="2:7" ht="18.75">
      <c r="B2" s="420" t="s">
        <v>313</v>
      </c>
      <c r="C2" s="420"/>
      <c r="D2" s="420"/>
      <c r="E2" s="420"/>
      <c r="F2" s="420"/>
      <c r="G2" s="420"/>
    </row>
    <row r="4" spans="2:7" ht="13.5" customHeight="1">
      <c r="B4" s="419" t="s">
        <v>300</v>
      </c>
      <c r="C4" s="419"/>
      <c r="D4" s="419"/>
      <c r="E4" s="419"/>
      <c r="F4" s="419"/>
      <c r="G4" s="419"/>
    </row>
    <row r="5" spans="2:7" ht="13.5">
      <c r="B5" s="419"/>
      <c r="C5" s="419"/>
      <c r="D5" s="419"/>
      <c r="E5" s="419"/>
      <c r="F5" s="419"/>
      <c r="G5" s="419"/>
    </row>
    <row r="6" ht="13.5">
      <c r="F6" s="183" t="s">
        <v>311</v>
      </c>
    </row>
    <row r="7" ht="27.75" customHeight="1">
      <c r="E7" s="183" t="s">
        <v>10</v>
      </c>
    </row>
    <row r="8" spans="4:7" ht="27.75" customHeight="1">
      <c r="D8" s="184" t="s">
        <v>301</v>
      </c>
      <c r="E8" s="183" t="s">
        <v>9</v>
      </c>
      <c r="G8" s="183" t="s">
        <v>303</v>
      </c>
    </row>
    <row r="9" ht="27.75" customHeight="1">
      <c r="E9" s="183" t="s">
        <v>302</v>
      </c>
    </row>
    <row r="10" ht="8.25" customHeight="1"/>
    <row r="11" spans="2:7" ht="36" customHeight="1">
      <c r="B11" s="187" t="s">
        <v>304</v>
      </c>
      <c r="C11" s="417"/>
      <c r="D11" s="418"/>
      <c r="E11" s="188" t="s">
        <v>309</v>
      </c>
      <c r="F11" s="421" t="s">
        <v>310</v>
      </c>
      <c r="G11" s="422"/>
    </row>
    <row r="12" spans="2:7" ht="28.5" customHeight="1">
      <c r="B12" s="413" t="s">
        <v>305</v>
      </c>
      <c r="C12" s="414"/>
      <c r="D12" s="186" t="s">
        <v>306</v>
      </c>
      <c r="E12" s="186" t="s">
        <v>307</v>
      </c>
      <c r="F12" s="423" t="s">
        <v>308</v>
      </c>
      <c r="G12" s="424"/>
    </row>
    <row r="13" spans="2:7" ht="28.5" customHeight="1">
      <c r="B13" s="415"/>
      <c r="C13" s="416"/>
      <c r="D13" s="189" t="s">
        <v>312</v>
      </c>
      <c r="E13" s="189"/>
      <c r="F13" s="425"/>
      <c r="G13" s="426"/>
    </row>
    <row r="14" spans="2:7" ht="28.5" customHeight="1">
      <c r="B14" s="415"/>
      <c r="C14" s="416"/>
      <c r="D14" s="189" t="s">
        <v>312</v>
      </c>
      <c r="E14" s="189"/>
      <c r="F14" s="425"/>
      <c r="G14" s="426"/>
    </row>
    <row r="15" spans="2:7" ht="28.5" customHeight="1">
      <c r="B15" s="415"/>
      <c r="C15" s="416"/>
      <c r="D15" s="189" t="s">
        <v>312</v>
      </c>
      <c r="E15" s="189"/>
      <c r="F15" s="425"/>
      <c r="G15" s="426"/>
    </row>
    <row r="16" spans="2:7" ht="28.5" customHeight="1">
      <c r="B16" s="415"/>
      <c r="C16" s="416"/>
      <c r="D16" s="189" t="s">
        <v>312</v>
      </c>
      <c r="E16" s="189"/>
      <c r="F16" s="425"/>
      <c r="G16" s="426"/>
    </row>
    <row r="17" spans="2:7" ht="28.5" customHeight="1">
      <c r="B17" s="415"/>
      <c r="C17" s="416"/>
      <c r="D17" s="189" t="s">
        <v>312</v>
      </c>
      <c r="E17" s="189"/>
      <c r="F17" s="425"/>
      <c r="G17" s="426"/>
    </row>
    <row r="18" spans="2:7" ht="28.5" customHeight="1">
      <c r="B18" s="415"/>
      <c r="C18" s="416"/>
      <c r="D18" s="189" t="s">
        <v>312</v>
      </c>
      <c r="E18" s="189"/>
      <c r="F18" s="425"/>
      <c r="G18" s="426"/>
    </row>
    <row r="19" spans="2:7" ht="28.5" customHeight="1">
      <c r="B19" s="415"/>
      <c r="C19" s="416"/>
      <c r="D19" s="189" t="s">
        <v>312</v>
      </c>
      <c r="E19" s="189"/>
      <c r="F19" s="425"/>
      <c r="G19" s="426"/>
    </row>
    <row r="20" spans="2:7" ht="28.5" customHeight="1">
      <c r="B20" s="415"/>
      <c r="C20" s="416"/>
      <c r="D20" s="189" t="s">
        <v>312</v>
      </c>
      <c r="E20" s="189"/>
      <c r="F20" s="425"/>
      <c r="G20" s="426"/>
    </row>
    <row r="21" spans="2:7" ht="28.5" customHeight="1">
      <c r="B21" s="415"/>
      <c r="C21" s="416"/>
      <c r="D21" s="189" t="s">
        <v>312</v>
      </c>
      <c r="E21" s="189"/>
      <c r="F21" s="425"/>
      <c r="G21" s="426"/>
    </row>
    <row r="22" spans="2:7" ht="28.5" customHeight="1">
      <c r="B22" s="415"/>
      <c r="C22" s="416"/>
      <c r="D22" s="189" t="s">
        <v>312</v>
      </c>
      <c r="E22" s="189"/>
      <c r="F22" s="425"/>
      <c r="G22" s="426"/>
    </row>
    <row r="23" spans="2:7" ht="28.5" customHeight="1">
      <c r="B23" s="415"/>
      <c r="C23" s="416"/>
      <c r="D23" s="189" t="s">
        <v>312</v>
      </c>
      <c r="E23" s="189"/>
      <c r="F23" s="425"/>
      <c r="G23" s="426"/>
    </row>
    <row r="24" spans="2:7" ht="28.5" customHeight="1">
      <c r="B24" s="415"/>
      <c r="C24" s="416"/>
      <c r="D24" s="189" t="s">
        <v>312</v>
      </c>
      <c r="E24" s="189"/>
      <c r="F24" s="425"/>
      <c r="G24" s="426"/>
    </row>
    <row r="25" spans="2:7" ht="28.5" customHeight="1">
      <c r="B25" s="415"/>
      <c r="C25" s="416"/>
      <c r="D25" s="189" t="s">
        <v>312</v>
      </c>
      <c r="E25" s="189"/>
      <c r="F25" s="425"/>
      <c r="G25" s="426"/>
    </row>
    <row r="26" spans="2:7" ht="28.5" customHeight="1">
      <c r="B26" s="415"/>
      <c r="C26" s="416"/>
      <c r="D26" s="189" t="s">
        <v>312</v>
      </c>
      <c r="E26" s="189"/>
      <c r="F26" s="425"/>
      <c r="G26" s="426"/>
    </row>
    <row r="27" spans="2:7" ht="28.5" customHeight="1">
      <c r="B27" s="415"/>
      <c r="C27" s="416"/>
      <c r="D27" s="189" t="s">
        <v>312</v>
      </c>
      <c r="E27" s="189"/>
      <c r="F27" s="425"/>
      <c r="G27" s="426"/>
    </row>
    <row r="28" spans="2:7" ht="28.5" customHeight="1">
      <c r="B28" s="415"/>
      <c r="C28" s="416"/>
      <c r="D28" s="189" t="s">
        <v>312</v>
      </c>
      <c r="E28" s="189"/>
      <c r="F28" s="425"/>
      <c r="G28" s="426"/>
    </row>
    <row r="29" spans="2:7" ht="28.5" customHeight="1">
      <c r="B29" s="415"/>
      <c r="C29" s="416"/>
      <c r="D29" s="189" t="s">
        <v>312</v>
      </c>
      <c r="E29" s="189"/>
      <c r="F29" s="425"/>
      <c r="G29" s="426"/>
    </row>
    <row r="30" spans="2:7" ht="28.5" customHeight="1">
      <c r="B30" s="415"/>
      <c r="C30" s="416"/>
      <c r="D30" s="189" t="s">
        <v>312</v>
      </c>
      <c r="E30" s="189"/>
      <c r="F30" s="425"/>
      <c r="G30" s="426"/>
    </row>
    <row r="31" spans="2:7" ht="28.5" customHeight="1">
      <c r="B31" s="427"/>
      <c r="C31" s="428"/>
      <c r="D31" s="185" t="s">
        <v>312</v>
      </c>
      <c r="E31" s="185"/>
      <c r="F31" s="429"/>
      <c r="G31" s="430"/>
    </row>
    <row r="32" ht="13.5">
      <c r="B32" s="183" t="s">
        <v>314</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2015-06-04T07:05:29Z</dcterms:modified>
  <cp:category/>
  <cp:version/>
  <cp:contentType/>
  <cp:contentStatus/>
</cp:coreProperties>
</file>