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960" windowHeight="553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<sst xmlns="http://schemas.openxmlformats.org/spreadsheetml/2006/main" count="383" uniqueCount="317">
  <si>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</si>
  <si>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</si>
  <si>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</si>
  <si>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</si>
  <si>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</si>
  <si>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</si>
  <si>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</si>
  <si>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</si>
  <si>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</si>
  <si>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</si>
  <si>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</si>
  <si>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</si>
  <si>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</si>
  <si>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</si>
  <si>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</si>
  <si>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</si>
  <si>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</si>
  <si>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</si>
  <si>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</si>
  <si>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</si>
  <si>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</si>
  <si>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</si>
  <si>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</si>
  <si>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</si>
  <si>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</si>
  <si>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</si>
  <si>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</si>
  <si>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</si>
  <si>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</si>
  <si>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</si>
  <si>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</si>
  <si>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</si>
  <si>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</si>
  <si>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</si>
  <si>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</si>
  <si>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</si>
  <si>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</si>
  <si>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</si>
  <si>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</si>
  <si>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</si>
  <si>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</si>
  <si>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</si>
  <si>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</si>
  <si>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</si>
  <si>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</si>
  <si>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</si>
  <si>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</si>
  <si>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</si>
  <si>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</si>
  <si>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</si>
  <si>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</si>
  <si>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</si>
  <si>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</si>
  <si>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</si>
  <si>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</si>
  <si>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</si>
  <si>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</si>
  <si>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</si>
  <si>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</si>
  <si>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</si>
  <si>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</si>
  <si>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</si>
  <si>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</si>
  <si>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</si>
  <si>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</si>
  <si>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</si>
  <si>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</si>
  <si>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</si>
  <si>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</si>
  <si>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</si>
  <si>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</si>
  <si>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</si>
  <si>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</si>
  <si>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</si>
  <si>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</si>
  <si>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</si>
  <si>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</si>
  <si>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</si>
  <si>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</si>
  <si>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</si>
  <si>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</si>
  <si>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</si>
  <si>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</si>
  <si>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</si>
  <si>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</si>
  <si>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</si>
  <si>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</si>
  <si>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</si>
  <si>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</si>
  <si>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</si>
  <si>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</si>
  <si>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</si>
  <si>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</si>
  <si>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</si>
  <si>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</si>
  <si>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</si>
  <si>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</si>
  <si>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</si>
  <si>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</si>
  <si>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</si>
  <si>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</si>
  <si>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</si>
  <si>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</si>
  <si>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</si>
  <si>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</si>
  <si>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</si>
  <si>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</si>
  <si>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</si>
  <si>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</si>
  <si>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</si>
  <si>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</si>
  <si>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</si>
  <si>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</si>
  <si>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</si>
  <si>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</si>
  <si>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</si>
  <si>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</si>
  <si>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</si>
  <si>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</si>
  <si>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</si>
  <si>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</si>
  <si>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</si>
  <si>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</si>
  <si>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</si>
  <si>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</si>
  <si>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</si>
  <si>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</si>
  <si>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</si>
  <si>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</si>
  <si>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</si>
  <si>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</si>
  <si>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</si>
  <si>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</si>
  <si>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</si>
  <si>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</si>
  <si>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</si>
  <si>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</si>
  <si>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</si>
  <si>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</si>
  <si>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</si>
  <si>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</si>
  <si>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</si>
  <si>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</si>
  <si>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</si>
  <si>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</si>
  <si>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</si>
  <si>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</si>
  <si>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</si>
  <si>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</si>
  <si>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</si>
  <si>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</si>
  <si>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</si>
  <si>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</si>
  <si>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</si>
  <si>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</si>
  <si>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</si>
  <si>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</si>
  <si>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</si>
  <si>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</si>
  <si>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</si>
  <si>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</si>
  <si>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</si>
  <si>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</si>
  <si>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</si>
  <si>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</si>
  <si>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</si>
  <si>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</si>
  <si>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</si>
  <si>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</si>
  <si>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</si>
  <si>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</si>
  <si>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</si>
  <si>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</si>
  <si>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</si>
  <si>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</si>
  <si>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</si>
  <si>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</si>
  <si>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</si>
  <si>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</si>
  <si>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</si>
  <si>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</si>
  <si>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</si>
  <si>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</si>
  <si>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</si>
  <si>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</si>
  <si>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</si>
  <si>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</si>
  <si>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</si>
  <si>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</si>
  <si>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</si>
  <si>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</si>
  <si>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</si>
  <si>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</si>
  <si>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</si>
  <si>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</si>
  <si>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</si>
  <si>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</si>
  <si>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</si>
  <si>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</si>
  <si>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</si>
  <si>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</si>
  <si>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</si>
  <si>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</si>
  <si>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</si>
  <si>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</si>
  <si>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</si>
  <si>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</si>
  <si>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</si>
  <si>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</si>
  <si>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</si>
  <si>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</si>
  <si>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</si>
  <si>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</si>
  <si>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</si>
  <si>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</si>
  <si>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</si>
  <si>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</si>
  <si>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</si>
  <si>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</si>
  <si>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</si>
  <si>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</si>
  <si>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</si>
  <si>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</si>
  <si>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</si>
  <si>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</si>
  <si>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</si>
  <si>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</si>
  <si>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</si>
  <si>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</si>
  <si>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</si>
  <si>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</si>
  <si>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</si>
  <si>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</si>
  <si>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</si>
  <si>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</si>
  <si>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</si>
  <si>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</si>
  <si>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</si>
  <si>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</si>
  <si>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</si>
  <si>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</si>
  <si>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</si>
  <si>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</si>
  <si>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</si>
  <si>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</si>
  <si>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</si>
  <si>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</si>
  <si>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</si>
  <si>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</si>
  <si>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</si>
  <si>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</si>
  <si>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</si>
  <si>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</si>
  <si>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</si>
  <si>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</si>
  <si>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</si>
  <si>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</si>
  <si>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</si>
  <si>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</si>
  <si>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</si>
  <si>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</si>
  <si>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</si>
  <si>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</si>
  <si>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</si>
  <si>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</si>
  <si>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</si>
  <si>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</si>
  <si>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</si>
  <si>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</si>
  <si>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</si>
  <si>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</si>
  <si>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</si>
  <si>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</si>
  <si>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</si>
  <si>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</si>
  <si>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</si>
  <si>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</si>
  <si>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</si>
  <si>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</si>
  <si>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</si>
  <si>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</si>
  <si>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</si>
  <si>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</si>
  <si>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</si>
  <si>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</si>
  <si>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</si>
  <si>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</si>
  <si>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</si>
  <si>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</si>
  <si>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</si>
  <si>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</si>
  <si>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</si>
  <si>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</si>
  <si>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</si>
  <si>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</si>
  <si>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</si>
  <si>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</si>
  <si>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</si>
  <si>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</si>
  <si>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開札月</t>
  </si>
  <si>
    <t>開札年</t>
  </si>
  <si>
    <t>開始月</t>
  </si>
  <si>
    <t>開始年</t>
  </si>
  <si>
    <t>終了年</t>
  </si>
  <si>
    <t>終了月</t>
  </si>
  <si>
    <t>終了日（閏考慮済）</t>
  </si>
  <si>
    <t>過去2年間の基準日計算</t>
  </si>
  <si>
    <t>平成２６年10月1日版</t>
  </si>
  <si>
    <t>固定</t>
  </si>
  <si>
    <t>西暦で記入してください。(例　2014/10/1)</t>
  </si>
  <si>
    <t>南本牧ふ頭第５ブロック廃棄物最終処分場(仮称)建設工事(その４８・しゅんせつ工)</t>
  </si>
  <si>
    <t>港湾局建設保全部建設第二課</t>
  </si>
  <si>
    <t>横浜市中区海岸通１－１</t>
  </si>
  <si>
    <t>671-0821</t>
  </si>
  <si>
    <t>671-0825</t>
  </si>
  <si>
    <t>港湾</t>
  </si>
  <si>
    <t>グラブ浚渫船を使用したしゅんせつ工事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</si>
</sst>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51">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51"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21" xfId="0" applyFont="1" applyFill="1" applyBorder="1" applyAlignment="1">
      <alignment vertical="center"/>
    </xf>
    <xf numFmtId="0" fontId="0" fillId="0" borderId="52" xfId="0" applyNumberFormat="1" applyFont="1" applyFill="1" applyBorder="1" applyAlignment="1">
      <alignment vertical="center"/>
    </xf>
    <xf numFmtId="0" fontId="0" fillId="0" borderId="15" xfId="0" applyFont="1" applyFill="1" applyBorder="1" applyAlignment="1">
      <alignment vertical="center"/>
    </xf>
    <xf numFmtId="176" fontId="0" fillId="0" borderId="17"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13" xfId="0" applyNumberFormat="1" applyFont="1" applyFill="1" applyBorder="1" applyAlignment="1">
      <alignment vertical="center"/>
    </xf>
    <xf numFmtId="0" fontId="0" fillId="0" borderId="14" xfId="0" applyFont="1" applyFill="1" applyBorder="1" applyAlignment="1">
      <alignment vertical="center"/>
    </xf>
    <xf numFmtId="0" fontId="0" fillId="0" borderId="53" xfId="0" applyFont="1" applyFill="1" applyBorder="1" applyAlignment="1">
      <alignment vertical="center"/>
    </xf>
    <xf numFmtId="0" fontId="0" fillId="0" borderId="17" xfId="0" applyFont="1" applyFill="1" applyBorder="1" applyAlignment="1">
      <alignment vertical="center"/>
    </xf>
    <xf numFmtId="0" fontId="0" fillId="0" borderId="52" xfId="0" applyFont="1" applyFill="1" applyBorder="1" applyAlignment="1">
      <alignment vertical="center"/>
    </xf>
    <xf numFmtId="0" fontId="0" fillId="0" borderId="0" xfId="0"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4" xfId="0" applyFont="1" applyBorder="1" applyAlignment="1" applyProtection="1">
      <alignment horizontal="left" vertical="center" wrapText="1"/>
      <protection/>
    </xf>
    <xf numFmtId="0" fontId="2" fillId="0" borderId="55"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7" xfId="0" applyFill="1" applyBorder="1" applyAlignment="1" applyProtection="1">
      <alignment horizontal="left" vertical="center"/>
      <protection/>
    </xf>
    <xf numFmtId="0" fontId="0" fillId="34" borderId="58" xfId="0" applyFill="1" applyBorder="1" applyAlignment="1" applyProtection="1">
      <alignment horizontal="left" vertical="center"/>
      <protection/>
    </xf>
    <xf numFmtId="0" fontId="0" fillId="34" borderId="59" xfId="0" applyFill="1" applyBorder="1" applyAlignment="1" applyProtection="1">
      <alignment horizontal="left" vertical="center"/>
      <protection/>
    </xf>
    <xf numFmtId="0" fontId="0" fillId="34" borderId="57" xfId="0" applyFill="1" applyBorder="1" applyAlignment="1" applyProtection="1">
      <alignment horizontal="center" vertical="center" wrapText="1"/>
      <protection/>
    </xf>
    <xf numFmtId="0" fontId="0" fillId="34" borderId="59" xfId="0" applyFill="1" applyBorder="1" applyAlignment="1" applyProtection="1">
      <alignment horizontal="center" vertical="center" wrapText="1"/>
      <protection/>
    </xf>
    <xf numFmtId="0" fontId="0" fillId="34" borderId="60"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1"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4"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4" fillId="0" borderId="10" xfId="0" applyFont="1" applyBorder="1" applyAlignment="1">
      <alignment vertical="center"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3"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52"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52"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57"/>
  <sheetViews>
    <sheetView zoomScale="70" zoomScaleNormal="70"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295</v>
      </c>
      <c r="F5" s="15" t="s">
        <v>22</v>
      </c>
    </row>
    <row r="6" spans="2:6" ht="37.5" customHeight="1" thickTop="1">
      <c r="B6" s="192" t="s">
        <v>16</v>
      </c>
      <c r="C6" s="16"/>
      <c r="D6" s="17" t="s">
        <v>20</v>
      </c>
      <c r="E6" s="47" t="s">
        <v>34</v>
      </c>
      <c r="F6" s="18" t="s">
        <v>23</v>
      </c>
    </row>
    <row r="7" spans="2:7" ht="37.5" customHeight="1">
      <c r="B7" s="193"/>
      <c r="C7" s="19"/>
      <c r="D7" s="20" t="s">
        <v>14</v>
      </c>
      <c r="E7" s="48" t="s">
        <v>36</v>
      </c>
      <c r="F7" s="18" t="s">
        <v>27</v>
      </c>
      <c r="G7" s="191" t="s">
        <v>28</v>
      </c>
    </row>
    <row r="8" spans="2:7" ht="37.5" customHeight="1">
      <c r="B8" s="194"/>
      <c r="C8" s="21"/>
      <c r="D8" s="20" t="s">
        <v>15</v>
      </c>
      <c r="E8" s="49">
        <v>12345</v>
      </c>
      <c r="F8" s="18" t="s">
        <v>40</v>
      </c>
      <c r="G8" s="191"/>
    </row>
    <row r="9" spans="2:7" ht="37.5" customHeight="1">
      <c r="B9" s="192" t="s">
        <v>12</v>
      </c>
      <c r="C9" s="16"/>
      <c r="D9" s="20" t="s">
        <v>10</v>
      </c>
      <c r="E9" s="48" t="s">
        <v>35</v>
      </c>
      <c r="F9" s="22" t="s">
        <v>24</v>
      </c>
      <c r="G9" s="191"/>
    </row>
    <row r="10" spans="2:7" ht="37.5" customHeight="1">
      <c r="B10" s="193"/>
      <c r="C10" s="19"/>
      <c r="D10" s="20" t="s">
        <v>8</v>
      </c>
      <c r="E10" s="48" t="s">
        <v>30</v>
      </c>
      <c r="F10" s="18" t="s">
        <v>25</v>
      </c>
      <c r="G10" s="191"/>
    </row>
    <row r="11" spans="2:6" ht="37.5" customHeight="1">
      <c r="B11" s="193"/>
      <c r="C11" s="19"/>
      <c r="D11" s="20" t="s">
        <v>21</v>
      </c>
      <c r="E11" s="48" t="s">
        <v>94</v>
      </c>
      <c r="F11" s="18" t="s">
        <v>29</v>
      </c>
    </row>
    <row r="12" spans="2:6" ht="37.5" customHeight="1">
      <c r="B12" s="193"/>
      <c r="C12" s="19"/>
      <c r="D12" s="20" t="s">
        <v>95</v>
      </c>
      <c r="E12" s="49">
        <v>56789</v>
      </c>
      <c r="F12" s="18" t="s">
        <v>29</v>
      </c>
    </row>
    <row r="13" spans="2:6" ht="37.5" customHeight="1">
      <c r="B13" s="193"/>
      <c r="C13" s="19"/>
      <c r="D13" s="20" t="s">
        <v>19</v>
      </c>
      <c r="E13" s="48" t="s">
        <v>31</v>
      </c>
      <c r="F13" s="195" t="s">
        <v>26</v>
      </c>
    </row>
    <row r="14" spans="2:6" ht="37.5" customHeight="1">
      <c r="B14" s="193"/>
      <c r="C14" s="19"/>
      <c r="D14" s="20" t="s">
        <v>6</v>
      </c>
      <c r="E14" s="48" t="s">
        <v>32</v>
      </c>
      <c r="F14" s="196"/>
    </row>
    <row r="15" spans="2:6" ht="37.5" customHeight="1" thickBot="1">
      <c r="B15" s="194"/>
      <c r="C15" s="21"/>
      <c r="D15" s="20" t="s">
        <v>7</v>
      </c>
      <c r="E15" s="50" t="s">
        <v>33</v>
      </c>
      <c r="F15" s="197"/>
    </row>
    <row r="16" ht="37.5" customHeight="1" thickTop="1"/>
    <row r="17" spans="2:3" ht="17.25">
      <c r="B17" s="11" t="s">
        <v>42</v>
      </c>
      <c r="C17" s="11"/>
    </row>
    <row r="18" spans="2:6" ht="18" customHeight="1" thickBot="1">
      <c r="B18" s="209" t="s">
        <v>17</v>
      </c>
      <c r="C18" s="209"/>
      <c r="D18" s="209"/>
      <c r="E18" s="23" t="s">
        <v>296</v>
      </c>
      <c r="F18" s="24" t="s">
        <v>22</v>
      </c>
    </row>
    <row r="19" spans="2:6" ht="37.5" customHeight="1" thickTop="1">
      <c r="B19" s="187" t="s">
        <v>16</v>
      </c>
      <c r="C19" s="188"/>
      <c r="D19" s="26" t="s">
        <v>2</v>
      </c>
      <c r="E19" s="27" t="s">
        <v>310</v>
      </c>
      <c r="F19" s="28"/>
    </row>
    <row r="20" spans="2:6" ht="23.25" customHeight="1">
      <c r="B20" s="189"/>
      <c r="C20" s="190"/>
      <c r="D20" s="198" t="s">
        <v>101</v>
      </c>
      <c r="E20" s="93" t="s">
        <v>311</v>
      </c>
      <c r="F20" s="94" t="s">
        <v>102</v>
      </c>
    </row>
    <row r="21" spans="2:6" ht="21.75" customHeight="1">
      <c r="B21" s="189"/>
      <c r="C21" s="190"/>
      <c r="D21" s="199"/>
      <c r="E21" s="95" t="s">
        <v>312</v>
      </c>
      <c r="F21" s="96" t="s">
        <v>103</v>
      </c>
    </row>
    <row r="22" spans="2:6" ht="21.75" customHeight="1">
      <c r="B22" s="189"/>
      <c r="C22" s="190"/>
      <c r="D22" s="199"/>
      <c r="E22" s="97" t="s">
        <v>313</v>
      </c>
      <c r="F22" s="98" t="s">
        <v>104</v>
      </c>
    </row>
    <row r="23" spans="2:6" ht="21.75" customHeight="1">
      <c r="B23" s="189"/>
      <c r="C23" s="190"/>
      <c r="D23" s="200"/>
      <c r="E23" s="99" t="s">
        <v>314</v>
      </c>
      <c r="F23" s="100" t="s">
        <v>105</v>
      </c>
    </row>
    <row r="24" spans="2:6" ht="37.5" customHeight="1">
      <c r="B24" s="189"/>
      <c r="C24" s="190"/>
      <c r="D24" s="29" t="s">
        <v>56</v>
      </c>
      <c r="E24" s="87">
        <v>41943</v>
      </c>
      <c r="F24" s="90" t="s">
        <v>309</v>
      </c>
    </row>
    <row r="25" spans="2:6" ht="37.5" customHeight="1">
      <c r="B25" s="189"/>
      <c r="C25" s="190"/>
      <c r="D25" s="30" t="s">
        <v>57</v>
      </c>
      <c r="E25" s="87">
        <v>41950</v>
      </c>
      <c r="F25" s="90" t="s">
        <v>309</v>
      </c>
    </row>
    <row r="26" spans="2:6" ht="37.5" customHeight="1">
      <c r="B26" s="189"/>
      <c r="C26" s="190"/>
      <c r="D26" s="30" t="s">
        <v>80</v>
      </c>
      <c r="E26" s="87">
        <v>41956</v>
      </c>
      <c r="F26" s="90" t="s">
        <v>309</v>
      </c>
    </row>
    <row r="27" spans="2:6" ht="37.5" customHeight="1">
      <c r="B27" s="189"/>
      <c r="C27" s="190"/>
      <c r="D27" s="30" t="s">
        <v>81</v>
      </c>
      <c r="E27" s="87">
        <v>41960</v>
      </c>
      <c r="F27" s="90" t="s">
        <v>309</v>
      </c>
    </row>
    <row r="28" spans="2:6" ht="37.5" customHeight="1">
      <c r="B28" s="189"/>
      <c r="C28" s="190"/>
      <c r="D28" s="30" t="s">
        <v>298</v>
      </c>
      <c r="E28" s="186">
        <v>41970</v>
      </c>
      <c r="F28" s="90" t="s">
        <v>309</v>
      </c>
    </row>
    <row r="29" spans="2:6" ht="37.5" customHeight="1" thickBot="1">
      <c r="B29" s="189"/>
      <c r="C29" s="190"/>
      <c r="D29" s="30" t="s">
        <v>82</v>
      </c>
      <c r="E29" s="88">
        <v>41983</v>
      </c>
      <c r="F29" s="90" t="s">
        <v>309</v>
      </c>
    </row>
    <row r="30" spans="2:6" s="33" customFormat="1" ht="45" customHeight="1" thickTop="1">
      <c r="B30" s="31"/>
      <c r="C30" s="31"/>
      <c r="D30" s="31"/>
      <c r="E30" s="32"/>
      <c r="F30" s="86"/>
    </row>
    <row r="31" spans="2:6" ht="37.5" customHeight="1" thickBot="1">
      <c r="B31" s="34" t="s">
        <v>1</v>
      </c>
      <c r="C31" s="25" t="s">
        <v>71</v>
      </c>
      <c r="D31" s="35" t="s">
        <v>17</v>
      </c>
      <c r="E31" s="36" t="s">
        <v>296</v>
      </c>
      <c r="F31" s="34" t="s">
        <v>22</v>
      </c>
    </row>
    <row r="32" spans="2:6" ht="37.5" customHeight="1" thickTop="1">
      <c r="B32" s="30" t="s">
        <v>61</v>
      </c>
      <c r="C32" s="56" t="s">
        <v>286</v>
      </c>
      <c r="D32" s="51" t="s">
        <v>289</v>
      </c>
      <c r="E32" s="38"/>
      <c r="F32" s="37" t="s">
        <v>106</v>
      </c>
    </row>
    <row r="33" spans="2:7" ht="37.5" customHeight="1">
      <c r="B33" s="30" t="s">
        <v>62</v>
      </c>
      <c r="C33" s="57" t="s">
        <v>265</v>
      </c>
      <c r="D33" s="51" t="s">
        <v>75</v>
      </c>
      <c r="E33" s="38" t="s">
        <v>315</v>
      </c>
      <c r="F33" s="37" t="s">
        <v>107</v>
      </c>
      <c r="G33" s="39"/>
    </row>
    <row r="34" spans="2:7" ht="37.5" customHeight="1">
      <c r="B34" s="30" t="s">
        <v>63</v>
      </c>
      <c r="C34" s="57" t="s">
        <v>265</v>
      </c>
      <c r="D34" s="52" t="s">
        <v>116</v>
      </c>
      <c r="E34" s="40" t="s">
        <v>297</v>
      </c>
      <c r="F34" s="37" t="s">
        <v>108</v>
      </c>
      <c r="G34" s="39"/>
    </row>
    <row r="35" spans="2:7" ht="37.5" customHeight="1">
      <c r="B35" s="30" t="s">
        <v>64</v>
      </c>
      <c r="C35" s="57" t="s">
        <v>265</v>
      </c>
      <c r="D35" s="51" t="s">
        <v>288</v>
      </c>
      <c r="E35" s="38" t="s">
        <v>316</v>
      </c>
      <c r="F35" s="37" t="s">
        <v>106</v>
      </c>
      <c r="G35" s="39"/>
    </row>
    <row r="36" spans="2:7" ht="37.5" customHeight="1">
      <c r="B36" s="30" t="s">
        <v>65</v>
      </c>
      <c r="C36" s="57" t="s">
        <v>286</v>
      </c>
      <c r="D36" s="51" t="s">
        <v>290</v>
      </c>
      <c r="E36" s="41"/>
      <c r="F36" s="42"/>
      <c r="G36" s="39"/>
    </row>
    <row r="37" spans="2:7" ht="37.5" customHeight="1">
      <c r="B37" s="30" t="s">
        <v>66</v>
      </c>
      <c r="C37" s="57" t="s">
        <v>286</v>
      </c>
      <c r="D37" s="53" t="s">
        <v>117</v>
      </c>
      <c r="E37" s="40"/>
      <c r="F37" s="37" t="s">
        <v>108</v>
      </c>
      <c r="G37" s="39"/>
    </row>
    <row r="38" spans="2:6" ht="36" customHeight="1">
      <c r="B38" s="30" t="s">
        <v>67</v>
      </c>
      <c r="C38" s="57" t="s">
        <v>265</v>
      </c>
      <c r="D38" s="114" t="s">
        <v>248</v>
      </c>
      <c r="E38" s="115"/>
      <c r="F38" s="45"/>
    </row>
    <row r="39" spans="2:7" ht="37.5" customHeight="1">
      <c r="B39" s="30" t="s">
        <v>68</v>
      </c>
      <c r="C39" s="57" t="s">
        <v>286</v>
      </c>
      <c r="D39" s="54" t="s">
        <v>59</v>
      </c>
      <c r="E39" s="41"/>
      <c r="F39" s="42"/>
      <c r="G39" s="43"/>
    </row>
    <row r="40" spans="2:6" ht="37.5" customHeight="1">
      <c r="B40" s="30" t="s">
        <v>69</v>
      </c>
      <c r="C40" s="57" t="s">
        <v>286</v>
      </c>
      <c r="D40" s="52" t="s">
        <v>263</v>
      </c>
      <c r="E40" s="44"/>
      <c r="F40" s="45" t="s">
        <v>109</v>
      </c>
    </row>
    <row r="41" spans="2:6" ht="37.5" customHeight="1">
      <c r="B41" s="30" t="s">
        <v>70</v>
      </c>
      <c r="C41" s="57" t="s">
        <v>286</v>
      </c>
      <c r="D41" s="165" t="s">
        <v>269</v>
      </c>
      <c r="E41" s="46"/>
      <c r="F41" s="166" t="s">
        <v>268</v>
      </c>
    </row>
    <row r="42" spans="2:6" ht="36.75" customHeight="1">
      <c r="B42" s="30" t="s">
        <v>122</v>
      </c>
      <c r="C42" s="57" t="s">
        <v>265</v>
      </c>
      <c r="D42" s="106" t="s">
        <v>250</v>
      </c>
      <c r="E42" s="46"/>
      <c r="F42" s="45"/>
    </row>
    <row r="43" spans="2:6" ht="36.75" customHeight="1">
      <c r="B43" s="30" t="s">
        <v>124</v>
      </c>
      <c r="C43" s="57" t="s">
        <v>265</v>
      </c>
      <c r="D43" s="55" t="s">
        <v>58</v>
      </c>
      <c r="E43" s="117"/>
      <c r="F43" s="45"/>
    </row>
    <row r="44" spans="2:6" ht="36" customHeight="1">
      <c r="B44" s="201" t="s">
        <v>125</v>
      </c>
      <c r="C44" s="203" t="s">
        <v>286</v>
      </c>
      <c r="D44" s="205" t="s">
        <v>294</v>
      </c>
      <c r="E44" s="113"/>
      <c r="F44" s="207" t="s">
        <v>123</v>
      </c>
    </row>
    <row r="45" spans="2:6" ht="36" customHeight="1">
      <c r="B45" s="202"/>
      <c r="C45" s="204"/>
      <c r="D45" s="206"/>
      <c r="E45" s="113"/>
      <c r="F45" s="208"/>
    </row>
    <row r="46" spans="2:6" ht="36" customHeight="1">
      <c r="B46" s="30" t="s">
        <v>247</v>
      </c>
      <c r="C46" s="57" t="s">
        <v>265</v>
      </c>
      <c r="D46" s="114" t="s">
        <v>291</v>
      </c>
      <c r="E46" s="115"/>
      <c r="F46" s="45"/>
    </row>
    <row r="47" spans="2:6" ht="36" customHeight="1">
      <c r="B47" s="30" t="s">
        <v>293</v>
      </c>
      <c r="C47" s="57" t="s">
        <v>286</v>
      </c>
      <c r="D47" s="167" t="s">
        <v>292</v>
      </c>
      <c r="E47" s="115"/>
      <c r="F47" s="45"/>
    </row>
    <row r="48" spans="2:6" ht="30.75" customHeight="1">
      <c r="B48" s="30"/>
      <c r="C48" s="57" t="s">
        <v>286</v>
      </c>
      <c r="D48" s="161" t="s">
        <v>287</v>
      </c>
      <c r="E48" s="115"/>
      <c r="F48" s="37" t="s">
        <v>244</v>
      </c>
    </row>
    <row r="49" spans="2:6" ht="32.25" customHeight="1">
      <c r="B49" s="30"/>
      <c r="C49" s="57" t="s">
        <v>286</v>
      </c>
      <c r="D49" s="161" t="s">
        <v>259</v>
      </c>
      <c r="E49" s="115"/>
      <c r="F49" s="37" t="s">
        <v>244</v>
      </c>
    </row>
    <row r="50" spans="2:6" ht="36" customHeight="1" thickBot="1">
      <c r="B50" s="30"/>
      <c r="C50" s="164" t="s">
        <v>286</v>
      </c>
      <c r="D50" s="114" t="s">
        <v>240</v>
      </c>
      <c r="E50" s="116"/>
      <c r="F50" s="37" t="s">
        <v>241</v>
      </c>
    </row>
    <row r="51" ht="35.25" customHeight="1" thickTop="1"/>
    <row r="52" spans="2:5" ht="13.5">
      <c r="B52" s="177" t="s">
        <v>306</v>
      </c>
      <c r="C52" s="179"/>
      <c r="D52" s="179"/>
      <c r="E52" s="180"/>
    </row>
    <row r="53" spans="2:6" ht="13.5">
      <c r="B53" s="168" t="s">
        <v>300</v>
      </c>
      <c r="C53" s="172">
        <f>YEAR(E28)-1988</f>
        <v>26</v>
      </c>
      <c r="D53" s="181" t="s">
        <v>302</v>
      </c>
      <c r="E53" s="182">
        <v>24</v>
      </c>
      <c r="F53" s="185" t="s">
        <v>308</v>
      </c>
    </row>
    <row r="54" spans="2:6" ht="13.5">
      <c r="B54" s="168" t="s">
        <v>299</v>
      </c>
      <c r="C54" s="171">
        <f>MONTH(E28)</f>
        <v>11</v>
      </c>
      <c r="D54" s="183" t="s">
        <v>301</v>
      </c>
      <c r="E54" s="184">
        <v>4</v>
      </c>
      <c r="F54" s="10" t="s">
        <v>308</v>
      </c>
    </row>
    <row r="55" spans="2:5" ht="13.5">
      <c r="B55" s="173"/>
      <c r="C55" s="171"/>
      <c r="D55" s="170" t="s">
        <v>303</v>
      </c>
      <c r="E55" s="169">
        <f>IF(C54&lt;=3,C53-1,C53)</f>
        <v>26</v>
      </c>
    </row>
    <row r="56" spans="2:5" ht="13.5">
      <c r="B56" s="168"/>
      <c r="C56" s="171"/>
      <c r="D56" s="168" t="s">
        <v>304</v>
      </c>
      <c r="E56" s="169">
        <f>MOD(C54-3-1,12)+1</f>
        <v>8</v>
      </c>
    </row>
    <row r="57" spans="2:5" ht="13.5">
      <c r="B57" s="174"/>
      <c r="C57" s="175"/>
      <c r="D57" s="178" t="s">
        <v>305</v>
      </c>
      <c r="E57" s="176">
        <f>DAY(DATE(E55+1988,E56+1,1)-1)</f>
        <v>31</v>
      </c>
    </row>
  </sheetData>
  <sheetProtection password="E7B6" sheet="1"/>
  <mergeCells count="11">
    <mergeCell ref="B44:B45"/>
    <mergeCell ref="C44:C45"/>
    <mergeCell ref="D44:D45"/>
    <mergeCell ref="F44:F45"/>
    <mergeCell ref="B18:D18"/>
    <mergeCell ref="B19:C29"/>
    <mergeCell ref="G7:G10"/>
    <mergeCell ref="B6:B8"/>
    <mergeCell ref="B9:B15"/>
    <mergeCell ref="F13:F15"/>
    <mergeCell ref="D20:D23"/>
  </mergeCells>
  <conditionalFormatting sqref="C50 C32:C47">
    <cfRule type="cellIs" priority="3" dxfId="3" operator="equal" stopIfTrue="1">
      <formula>"適用"</formula>
    </cfRule>
  </conditionalFormatting>
  <conditionalFormatting sqref="C49">
    <cfRule type="cellIs" priority="2" dxfId="3" operator="equal" stopIfTrue="1">
      <formula>"適用"</formula>
    </cfRule>
  </conditionalFormatting>
  <conditionalFormatting sqref="C48">
    <cfRule type="cellIs" priority="1" dxfId="3"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10" t="s">
        <v>87</v>
      </c>
      <c r="C2" s="210"/>
      <c r="D2" s="210"/>
    </row>
    <row r="3" spans="2:4" ht="7.5" customHeight="1">
      <c r="B3" s="58"/>
      <c r="C3" s="58"/>
      <c r="D3" s="58"/>
    </row>
    <row r="4" spans="2:4" ht="28.5">
      <c r="B4" s="210" t="s">
        <v>88</v>
      </c>
      <c r="C4" s="210"/>
      <c r="D4" s="210"/>
    </row>
    <row r="5" spans="2:4" ht="16.5" customHeight="1">
      <c r="B5" s="58"/>
      <c r="C5" s="58"/>
      <c r="D5" s="58"/>
    </row>
    <row r="6" spans="2:4" ht="30.75" customHeight="1">
      <c r="B6" s="213" t="str">
        <f>IF(OR('入力シート'!C46="適用",'入力シート'!C47="適用"),"『地域貢献評価型』","")</f>
        <v>『地域貢献評価型』</v>
      </c>
      <c r="C6" s="213"/>
      <c r="D6" s="213"/>
    </row>
    <row r="7" spans="2:4" ht="22.5" customHeight="1">
      <c r="B7" s="213">
        <f>IF(AND('入力シート'!C41="適用",'入力シート'!C42="適用"),"『災害活動評価型』","")</f>
      </c>
      <c r="C7" s="213"/>
      <c r="D7" s="213"/>
    </row>
    <row r="8" spans="2:4" ht="25.5" customHeight="1">
      <c r="B8" s="213">
        <f>IF('入力シート'!C44="適用","『市内企業活用評価型』","")</f>
      </c>
      <c r="C8" s="213"/>
      <c r="D8" s="213"/>
    </row>
    <row r="9" spans="2:4" ht="25.5" customHeight="1">
      <c r="B9" s="213" t="str">
        <f>IF('入力シート'!C38="適用","『若手技術者活用評価型』","")</f>
        <v>『若手技術者活用評価型』</v>
      </c>
      <c r="C9" s="213"/>
      <c r="D9" s="213"/>
    </row>
    <row r="10" spans="2:4" ht="25.5" customHeight="1">
      <c r="B10" s="213">
        <f>IF('入力シート'!C50="適用","『低入札対策試行対象』","")</f>
      </c>
      <c r="C10" s="213"/>
      <c r="D10" s="213"/>
    </row>
    <row r="11" spans="2:4" ht="17.25" customHeight="1">
      <c r="B11" s="59"/>
      <c r="C11" s="59"/>
      <c r="D11" s="59"/>
    </row>
    <row r="12" spans="2:4" ht="73.5" customHeight="1">
      <c r="B12" s="60" t="s">
        <v>2</v>
      </c>
      <c r="C12" s="60"/>
      <c r="D12" s="61" t="str">
        <f>'入力シート'!E19</f>
        <v>南本牧ふ頭第５ブロック廃棄物最終処分場(仮称)建設工事(その４８・しゅんせつ工)</v>
      </c>
    </row>
    <row r="13" spans="2:4" ht="189.75" customHeight="1">
      <c r="B13" s="59"/>
      <c r="C13" s="59"/>
      <c r="D13" s="59"/>
    </row>
    <row r="14" spans="2:4" ht="28.5">
      <c r="B14" s="210" t="s">
        <v>89</v>
      </c>
      <c r="C14" s="210"/>
      <c r="D14" s="210"/>
    </row>
    <row r="15" spans="2:4" ht="13.5">
      <c r="B15" s="211" t="s">
        <v>307</v>
      </c>
      <c r="C15" s="211"/>
      <c r="D15" s="211"/>
    </row>
    <row r="16" spans="2:4" ht="18" customHeight="1">
      <c r="B16" s="59"/>
      <c r="C16" s="59"/>
      <c r="D16" s="59"/>
    </row>
    <row r="17" spans="2:5" ht="13.5">
      <c r="B17" s="101" t="s">
        <v>112</v>
      </c>
      <c r="C17" s="101"/>
      <c r="D17" s="101"/>
      <c r="E17" s="101"/>
    </row>
    <row r="18" spans="2:4" ht="13.5">
      <c r="B18" s="101"/>
      <c r="C18" s="101" t="str">
        <f>'入力シート'!E20</f>
        <v>港湾局建設保全部建設第二課</v>
      </c>
      <c r="D18" s="101"/>
    </row>
    <row r="19" spans="2:4" ht="13.5">
      <c r="B19" s="101"/>
      <c r="C19" s="101" t="str">
        <f>'入力シート'!E21</f>
        <v>横浜市中区海岸通１－１</v>
      </c>
      <c r="D19" s="101"/>
    </row>
    <row r="20" spans="2:4" ht="13.5">
      <c r="B20" s="101"/>
      <c r="C20" s="101" t="str">
        <f>"ＴＥＬ　　"&amp;'入力シート'!E22&amp;"　　　　　　　　　ＦＡＸ　　"&amp;'入力シート'!E23</f>
        <v>ＴＥＬ　　671-0821　　　　　　　　　ＦＡＸ　　671-0825</v>
      </c>
      <c r="D20" s="101"/>
    </row>
    <row r="22" spans="2:5" ht="13.5">
      <c r="B22" s="101" t="s">
        <v>110</v>
      </c>
      <c r="C22" s="101"/>
      <c r="D22" s="101"/>
      <c r="E22" s="101"/>
    </row>
    <row r="23" spans="2:5" ht="6" customHeight="1">
      <c r="B23" s="101"/>
      <c r="C23" s="101"/>
      <c r="D23" s="101"/>
      <c r="E23" s="101"/>
    </row>
    <row r="24" spans="2:4" ht="13.5">
      <c r="B24" s="101"/>
      <c r="C24" s="212">
        <f>'入力シート'!E24</f>
        <v>41943</v>
      </c>
      <c r="D24" s="212"/>
    </row>
    <row r="25" spans="2:5" ht="5.25" customHeight="1">
      <c r="B25" s="101"/>
      <c r="C25" s="101"/>
      <c r="D25" s="102"/>
      <c r="E25" s="102"/>
    </row>
    <row r="26" spans="2:5" ht="13.5">
      <c r="B26" s="101" t="s">
        <v>111</v>
      </c>
      <c r="C26" s="101"/>
      <c r="D26" s="101"/>
      <c r="E26" s="101"/>
    </row>
    <row r="27" spans="2:5" ht="13.5">
      <c r="B27" s="101"/>
      <c r="C27" s="101"/>
      <c r="D27" s="101"/>
      <c r="E27" s="101"/>
    </row>
    <row r="28" spans="2:4" ht="13.5">
      <c r="B28" s="107"/>
      <c r="C28" s="107"/>
      <c r="D28" s="107"/>
    </row>
    <row r="29" spans="2:4" ht="13.5">
      <c r="B29" s="107"/>
      <c r="C29" s="107"/>
      <c r="D29" s="107"/>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256</v>
      </c>
    </row>
    <row r="2" ht="14.25" customHeight="1"/>
    <row r="3" spans="1:10" ht="14.25" customHeight="1">
      <c r="A3" s="215" t="s">
        <v>126</v>
      </c>
      <c r="B3" s="215"/>
      <c r="C3" s="215"/>
      <c r="D3" s="215"/>
      <c r="E3" s="215"/>
      <c r="F3" s="215"/>
      <c r="G3" s="215"/>
      <c r="H3" s="215"/>
      <c r="I3" s="215"/>
      <c r="J3" s="215"/>
    </row>
    <row r="4" spans="1:10" ht="14.25" customHeight="1">
      <c r="A4" s="103"/>
      <c r="B4" s="119" t="s">
        <v>127</v>
      </c>
      <c r="C4" s="214" t="s">
        <v>272</v>
      </c>
      <c r="D4" s="214"/>
      <c r="E4" s="214"/>
      <c r="F4" s="216" t="str">
        <f>'入力シート'!E19</f>
        <v>南本牧ふ頭第５ブロック廃棄物最終処分場(仮称)建設工事(その４８・しゅんせつ工)</v>
      </c>
      <c r="G4" s="216"/>
      <c r="H4" s="216"/>
      <c r="I4" s="216"/>
      <c r="J4" s="216"/>
    </row>
    <row r="5" spans="1:10" ht="14.25" customHeight="1">
      <c r="A5" s="103"/>
      <c r="B5" s="119" t="s">
        <v>128</v>
      </c>
      <c r="C5" s="214" t="s">
        <v>273</v>
      </c>
      <c r="D5" s="214"/>
      <c r="E5" s="214"/>
      <c r="F5" s="214"/>
      <c r="G5" s="214"/>
      <c r="H5" s="214"/>
      <c r="I5" s="214"/>
      <c r="J5" s="214"/>
    </row>
    <row r="6" spans="1:10" ht="14.25" customHeight="1">
      <c r="A6" s="103"/>
      <c r="B6" s="103"/>
      <c r="C6" s="214" t="s">
        <v>267</v>
      </c>
      <c r="D6" s="214"/>
      <c r="E6" s="214"/>
      <c r="F6" s="214"/>
      <c r="G6" s="214"/>
      <c r="H6" s="214"/>
      <c r="I6" s="214"/>
      <c r="J6" s="214"/>
    </row>
    <row r="7" spans="1:10" ht="14.25" customHeight="1">
      <c r="A7" s="103"/>
      <c r="B7" s="103"/>
      <c r="C7" s="214"/>
      <c r="D7" s="214"/>
      <c r="E7" s="214"/>
      <c r="F7" s="214"/>
      <c r="G7" s="214"/>
      <c r="H7" s="214"/>
      <c r="I7" s="214"/>
      <c r="J7" s="214"/>
    </row>
    <row r="8" spans="1:10" ht="14.25" customHeight="1">
      <c r="A8" s="103"/>
      <c r="B8" s="214"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14"/>
      <c r="D8" s="214"/>
      <c r="E8" s="214"/>
      <c r="F8" s="214"/>
      <c r="G8" s="214"/>
      <c r="H8" s="214"/>
      <c r="I8" s="214"/>
      <c r="J8" s="214"/>
    </row>
    <row r="9" spans="1:10" ht="14.25" customHeight="1">
      <c r="A9" s="103"/>
      <c r="B9" s="214">
        <f>IF(AND('実施要領書(表紙)'!B6="",'実施要領書(表紙)'!B7="",'実施要領書(表紙)'!B8="",'実施要領書(表紙)'!B9=""),"",IF('実施要領書(表紙)'!B10="","","(4)　本工事は『低入札対策試行対象』です。調査基準価格を下回る価格での入札に対し減点措置を行います。"))</f>
      </c>
      <c r="C9" s="214"/>
      <c r="D9" s="214"/>
      <c r="E9" s="214"/>
      <c r="F9" s="214"/>
      <c r="G9" s="214"/>
      <c r="H9" s="214"/>
      <c r="I9" s="214"/>
      <c r="J9" s="214"/>
    </row>
    <row r="10" spans="1:5" ht="14.25" customHeight="1">
      <c r="A10" s="103"/>
      <c r="B10" s="103"/>
      <c r="C10" s="103"/>
      <c r="D10" s="103"/>
      <c r="E10" s="103"/>
    </row>
    <row r="11" spans="1:10" ht="14.25" customHeight="1">
      <c r="A11" s="214" t="s">
        <v>129</v>
      </c>
      <c r="B11" s="214"/>
      <c r="C11" s="214"/>
      <c r="D11" s="214"/>
      <c r="E11" s="214"/>
      <c r="F11" s="214"/>
      <c r="G11" s="214"/>
      <c r="H11" s="214"/>
      <c r="I11" s="214"/>
      <c r="J11" s="214"/>
    </row>
    <row r="12" spans="1:10" ht="14.25" customHeight="1">
      <c r="A12" s="107"/>
      <c r="B12" s="214" t="s">
        <v>130</v>
      </c>
      <c r="C12" s="214"/>
      <c r="D12" s="214"/>
      <c r="E12" s="214"/>
      <c r="F12" s="214"/>
      <c r="G12" s="214"/>
      <c r="H12" s="214"/>
      <c r="I12" s="214"/>
      <c r="J12" s="214"/>
    </row>
    <row r="13" spans="1:10" ht="14.25" customHeight="1">
      <c r="A13" s="107"/>
      <c r="B13" s="214"/>
      <c r="C13" s="214"/>
      <c r="D13" s="214"/>
      <c r="E13" s="214"/>
      <c r="F13" s="214"/>
      <c r="G13" s="214"/>
      <c r="H13" s="214"/>
      <c r="I13" s="214"/>
      <c r="J13" s="214"/>
    </row>
    <row r="14" spans="1:10" ht="14.25" customHeight="1">
      <c r="A14" s="103"/>
      <c r="B14" s="103"/>
      <c r="C14" s="103"/>
      <c r="D14" s="103"/>
      <c r="E14" s="103"/>
      <c r="F14" s="121"/>
      <c r="G14" s="121"/>
      <c r="H14" s="121"/>
      <c r="I14" s="121"/>
      <c r="J14" s="103"/>
    </row>
    <row r="15" spans="1:10" ht="14.25" customHeight="1">
      <c r="A15" s="217" t="s">
        <v>131</v>
      </c>
      <c r="B15" s="217"/>
      <c r="C15" s="217"/>
      <c r="D15" s="217"/>
      <c r="E15" s="217"/>
      <c r="F15" s="217"/>
      <c r="G15" s="217"/>
      <c r="H15" s="217"/>
      <c r="I15" s="217"/>
      <c r="J15" s="217"/>
    </row>
    <row r="16" spans="2:11" ht="14.25" customHeight="1">
      <c r="B16" s="217" t="s">
        <v>132</v>
      </c>
      <c r="C16" s="217"/>
      <c r="D16" s="217"/>
      <c r="E16" s="217"/>
      <c r="F16" s="217"/>
      <c r="G16" s="217"/>
      <c r="H16" s="217"/>
      <c r="I16" s="217"/>
      <c r="J16" s="217"/>
      <c r="K16" s="122"/>
    </row>
    <row r="17" spans="4:9" ht="14.25" customHeight="1">
      <c r="D17" s="218" t="s">
        <v>76</v>
      </c>
      <c r="E17" s="218"/>
      <c r="F17" s="218"/>
      <c r="G17" s="218"/>
      <c r="H17" s="123" t="s">
        <v>77</v>
      </c>
      <c r="I17" s="123" t="s">
        <v>133</v>
      </c>
    </row>
    <row r="18" spans="4:9" ht="14.25" customHeight="1">
      <c r="D18" s="219" t="s">
        <v>134</v>
      </c>
      <c r="E18" s="219"/>
      <c r="F18" s="219"/>
      <c r="G18" s="219"/>
      <c r="H18" s="124">
        <f>'入力シート'!E24</f>
        <v>41943</v>
      </c>
      <c r="I18" s="125" t="s">
        <v>135</v>
      </c>
    </row>
    <row r="19" spans="4:9" ht="14.25" customHeight="1">
      <c r="D19" s="219" t="s">
        <v>78</v>
      </c>
      <c r="E19" s="219"/>
      <c r="F19" s="219"/>
      <c r="G19" s="219"/>
      <c r="H19" s="124">
        <f>'入力シート'!E25</f>
        <v>41950</v>
      </c>
      <c r="I19" s="125"/>
    </row>
    <row r="20" spans="4:9" ht="14.25" customHeight="1">
      <c r="D20" s="219" t="s">
        <v>79</v>
      </c>
      <c r="E20" s="219"/>
      <c r="F20" s="219"/>
      <c r="G20" s="219"/>
      <c r="H20" s="126">
        <f>'入力シート'!E26</f>
        <v>41956</v>
      </c>
      <c r="I20" s="127"/>
    </row>
    <row r="21" spans="4:9" ht="14.25" customHeight="1">
      <c r="D21" s="219"/>
      <c r="E21" s="219"/>
      <c r="F21" s="219"/>
      <c r="G21" s="219"/>
      <c r="H21" s="128">
        <f>'入力シート'!E27</f>
        <v>41960</v>
      </c>
      <c r="I21" s="129"/>
    </row>
    <row r="22" spans="4:9" ht="14.25" customHeight="1">
      <c r="D22" s="219" t="s">
        <v>136</v>
      </c>
      <c r="E22" s="219"/>
      <c r="F22" s="219"/>
      <c r="G22" s="219"/>
      <c r="H22" s="130">
        <f>'入力シート'!E29</f>
        <v>41983</v>
      </c>
      <c r="I22" s="131" t="s">
        <v>137</v>
      </c>
    </row>
    <row r="23" ht="14.25" customHeight="1"/>
    <row r="24" spans="2:9" ht="14.25" customHeight="1">
      <c r="B24" s="101" t="s">
        <v>138</v>
      </c>
      <c r="D24" s="220" t="s">
        <v>139</v>
      </c>
      <c r="E24" s="221"/>
      <c r="F24" s="221"/>
      <c r="G24" s="221"/>
      <c r="H24" s="221"/>
      <c r="I24" s="221"/>
    </row>
    <row r="25" spans="4:9" ht="14.25" customHeight="1">
      <c r="D25" s="221"/>
      <c r="E25" s="221"/>
      <c r="F25" s="221"/>
      <c r="G25" s="221"/>
      <c r="H25" s="221"/>
      <c r="I25" s="221"/>
    </row>
    <row r="26" spans="4:9" ht="14.25" customHeight="1">
      <c r="D26" s="221"/>
      <c r="E26" s="221"/>
      <c r="F26" s="221"/>
      <c r="G26" s="221"/>
      <c r="H26" s="221"/>
      <c r="I26" s="221"/>
    </row>
    <row r="27" spans="4:9" ht="14.25" customHeight="1">
      <c r="D27" s="221"/>
      <c r="E27" s="221"/>
      <c r="F27" s="221"/>
      <c r="G27" s="221"/>
      <c r="H27" s="221"/>
      <c r="I27" s="221"/>
    </row>
    <row r="28" spans="4:9" ht="14.25" customHeight="1">
      <c r="D28" s="221"/>
      <c r="E28" s="221"/>
      <c r="F28" s="221"/>
      <c r="G28" s="221"/>
      <c r="H28" s="221"/>
      <c r="I28" s="221"/>
    </row>
    <row r="29" spans="2:9" ht="14.25" customHeight="1">
      <c r="B29" s="101" t="s">
        <v>140</v>
      </c>
      <c r="D29" s="220" t="s">
        <v>141</v>
      </c>
      <c r="E29" s="221"/>
      <c r="F29" s="221"/>
      <c r="G29" s="221"/>
      <c r="H29" s="221"/>
      <c r="I29" s="221"/>
    </row>
    <row r="30" spans="4:9" ht="14.25" customHeight="1">
      <c r="D30" s="221"/>
      <c r="E30" s="221"/>
      <c r="F30" s="221"/>
      <c r="G30" s="221"/>
      <c r="H30" s="221"/>
      <c r="I30" s="221"/>
    </row>
    <row r="31" spans="1:10" s="118" customFormat="1" ht="14.25" customHeight="1">
      <c r="A31" s="121"/>
      <c r="B31" s="121"/>
      <c r="C31" s="121"/>
      <c r="D31" s="121"/>
      <c r="E31" s="121"/>
      <c r="F31" s="121"/>
      <c r="G31" s="121"/>
      <c r="H31" s="121"/>
      <c r="I31" s="121"/>
      <c r="J31" s="121"/>
    </row>
    <row r="32" spans="1:10" ht="14.25" customHeight="1">
      <c r="A32" s="214" t="s">
        <v>142</v>
      </c>
      <c r="B32" s="214"/>
      <c r="C32" s="214"/>
      <c r="D32" s="214"/>
      <c r="E32" s="214"/>
      <c r="F32" s="214"/>
      <c r="G32" s="214"/>
      <c r="H32" s="214"/>
      <c r="I32" s="214"/>
      <c r="J32" s="214"/>
    </row>
    <row r="33" spans="1:10" ht="14.25" customHeight="1">
      <c r="A33" s="107"/>
      <c r="B33" s="214" t="s">
        <v>143</v>
      </c>
      <c r="C33" s="214"/>
      <c r="D33" s="214"/>
      <c r="E33" s="214"/>
      <c r="F33" s="214"/>
      <c r="G33" s="214"/>
      <c r="H33" s="214"/>
      <c r="I33" s="214"/>
      <c r="J33" s="214"/>
    </row>
    <row r="34" spans="1:10" ht="14.25" customHeight="1">
      <c r="A34" s="107"/>
      <c r="B34" s="120"/>
      <c r="C34" s="120"/>
      <c r="D34" s="120"/>
      <c r="E34" s="120"/>
      <c r="F34" s="120"/>
      <c r="G34" s="120"/>
      <c r="H34" s="120"/>
      <c r="I34" s="120"/>
      <c r="J34" s="120"/>
    </row>
    <row r="35" spans="4:10" s="132" customFormat="1" ht="14.25" customHeight="1">
      <c r="D35" s="224" t="s">
        <v>84</v>
      </c>
      <c r="E35" s="224"/>
      <c r="F35" s="224"/>
      <c r="G35" s="225" t="s">
        <v>83</v>
      </c>
      <c r="H35" s="225"/>
      <c r="I35" s="225"/>
      <c r="J35" s="104"/>
    </row>
    <row r="36" spans="1:10" ht="28.5" customHeight="1">
      <c r="A36" s="103"/>
      <c r="B36" s="103"/>
      <c r="C36" s="103"/>
      <c r="D36" s="222" t="s">
        <v>144</v>
      </c>
      <c r="E36" s="222"/>
      <c r="F36" s="222"/>
      <c r="G36" s="223" t="str">
        <f>IF('入力シート'!C32="適用",'入力シート'!E32,"今回工事ではこの項目を適用しません。")</f>
        <v>今回工事ではこの項目を適用しません。</v>
      </c>
      <c r="H36" s="223"/>
      <c r="I36" s="223"/>
      <c r="J36" s="104"/>
    </row>
    <row r="37" spans="1:10" ht="28.5" customHeight="1">
      <c r="A37" s="103"/>
      <c r="B37" s="103"/>
      <c r="C37" s="103"/>
      <c r="D37" s="222" t="s">
        <v>145</v>
      </c>
      <c r="E37" s="222"/>
      <c r="F37" s="222"/>
      <c r="G37" s="223" t="str">
        <f>IF('入力シート'!C33="適用",'入力シート'!E33,"今回工事ではこの項目を適用しません。")</f>
        <v>港湾</v>
      </c>
      <c r="H37" s="223"/>
      <c r="I37" s="223"/>
      <c r="J37" s="104"/>
    </row>
    <row r="38" spans="1:10" ht="28.5" customHeight="1">
      <c r="A38" s="103"/>
      <c r="B38" s="103"/>
      <c r="C38" s="103"/>
      <c r="D38" s="222" t="s">
        <v>146</v>
      </c>
      <c r="E38" s="222"/>
      <c r="F38" s="222"/>
      <c r="G38" s="223" t="str">
        <f>IF('入力シート'!C34="適用",'入力シート'!E34,"今回工事ではこの項目を適用しません。")</f>
        <v>土木（土木・造園）</v>
      </c>
      <c r="H38" s="223"/>
      <c r="I38" s="223"/>
      <c r="J38" s="104"/>
    </row>
    <row r="39" spans="1:10" ht="28.5" customHeight="1">
      <c r="A39" s="103"/>
      <c r="B39" s="103"/>
      <c r="C39" s="103"/>
      <c r="D39" s="222" t="s">
        <v>147</v>
      </c>
      <c r="E39" s="222"/>
      <c r="F39" s="222"/>
      <c r="G39" s="223" t="str">
        <f>IF('入力シート'!C35="適用",'入力シート'!E35,"今回工事ではこの項目を適用しません。")</f>
        <v>グラブ浚渫船を使用したしゅんせつ工事</v>
      </c>
      <c r="H39" s="223"/>
      <c r="I39" s="223"/>
      <c r="J39" s="104"/>
    </row>
    <row r="40" spans="1:10" ht="28.5" customHeight="1">
      <c r="A40" s="103"/>
      <c r="B40" s="103"/>
      <c r="C40" s="103"/>
      <c r="D40" s="222" t="s">
        <v>148</v>
      </c>
      <c r="E40" s="222"/>
      <c r="F40" s="222"/>
      <c r="G40" s="223" t="str">
        <f>IF('入力シート'!C37="適用",'入力シート'!E37,"今回工事ではこの項目を適用しません。")</f>
        <v>今回工事ではこの項目を適用しません。</v>
      </c>
      <c r="H40" s="223"/>
      <c r="I40" s="223"/>
      <c r="J40" s="104"/>
    </row>
    <row r="41" spans="1:10" ht="28.5" customHeight="1">
      <c r="A41" s="103"/>
      <c r="B41" s="103"/>
      <c r="C41" s="103"/>
      <c r="D41" s="226" t="s">
        <v>261</v>
      </c>
      <c r="E41" s="226"/>
      <c r="F41" s="226"/>
      <c r="G41" s="223" t="str">
        <f>IF('入力シート'!C40="適用",'入力シート'!E40,"今回工事ではこの項目を適用しません。")</f>
        <v>今回工事ではこの項目を適用しません。</v>
      </c>
      <c r="H41" s="223"/>
      <c r="I41" s="223"/>
      <c r="J41" s="104"/>
    </row>
    <row r="42" spans="1:10" ht="15" customHeight="1">
      <c r="A42" s="103"/>
      <c r="B42" s="103"/>
      <c r="C42" s="103"/>
      <c r="D42" s="133" t="s">
        <v>149</v>
      </c>
      <c r="E42" s="227" t="s">
        <v>150</v>
      </c>
      <c r="F42" s="227"/>
      <c r="G42" s="227"/>
      <c r="H42" s="227"/>
      <c r="I42" s="227"/>
      <c r="J42" s="104"/>
    </row>
    <row r="43" spans="1:10" ht="15" customHeight="1">
      <c r="A43" s="103"/>
      <c r="B43" s="103"/>
      <c r="C43" s="103"/>
      <c r="D43" s="133"/>
      <c r="E43" s="228"/>
      <c r="F43" s="228"/>
      <c r="G43" s="228"/>
      <c r="H43" s="228"/>
      <c r="I43" s="228"/>
      <c r="J43" s="104"/>
    </row>
    <row r="44" spans="1:10" ht="15" customHeight="1">
      <c r="A44" s="103"/>
      <c r="B44" s="103"/>
      <c r="C44" s="103"/>
      <c r="E44" s="228"/>
      <c r="F44" s="228"/>
      <c r="G44" s="228"/>
      <c r="H44" s="228"/>
      <c r="I44" s="228"/>
      <c r="J44" s="104"/>
    </row>
    <row r="45" spans="1:10" ht="15" customHeight="1">
      <c r="A45" s="103"/>
      <c r="B45" s="103"/>
      <c r="C45" s="103"/>
      <c r="D45" s="133" t="s">
        <v>151</v>
      </c>
      <c r="E45" s="229" t="s">
        <v>152</v>
      </c>
      <c r="F45" s="229"/>
      <c r="G45" s="229"/>
      <c r="H45" s="229"/>
      <c r="I45" s="229"/>
      <c r="J45" s="104"/>
    </row>
    <row r="46" spans="1:10" ht="15" customHeight="1">
      <c r="A46" s="103"/>
      <c r="B46" s="103"/>
      <c r="C46" s="103"/>
      <c r="D46" s="133"/>
      <c r="E46" s="229"/>
      <c r="F46" s="229"/>
      <c r="G46" s="229"/>
      <c r="H46" s="229"/>
      <c r="I46" s="229"/>
      <c r="J46" s="104"/>
    </row>
    <row r="47" spans="1:10" ht="14.25" customHeight="1">
      <c r="A47" s="134"/>
      <c r="B47" s="134"/>
      <c r="C47" s="134"/>
      <c r="D47" s="134"/>
      <c r="E47" s="134"/>
      <c r="F47" s="135"/>
      <c r="G47" s="135"/>
      <c r="H47" s="135"/>
      <c r="I47" s="135"/>
      <c r="J47" s="134"/>
    </row>
    <row r="48" spans="1:10" ht="14.25" customHeight="1">
      <c r="A48" s="214" t="s">
        <v>153</v>
      </c>
      <c r="B48" s="214"/>
      <c r="C48" s="214"/>
      <c r="D48" s="214"/>
      <c r="E48" s="214"/>
      <c r="F48" s="214"/>
      <c r="G48" s="214"/>
      <c r="H48" s="214"/>
      <c r="I48" s="214"/>
      <c r="J48" s="214"/>
    </row>
    <row r="49" spans="1:10" ht="14.25" customHeight="1">
      <c r="A49" s="103"/>
      <c r="B49" s="136" t="s">
        <v>154</v>
      </c>
      <c r="C49" s="214" t="s">
        <v>155</v>
      </c>
      <c r="D49" s="214"/>
      <c r="E49" s="214"/>
      <c r="F49" s="214"/>
      <c r="G49" s="214"/>
      <c r="H49" s="214"/>
      <c r="I49" s="214"/>
      <c r="J49" s="214"/>
    </row>
    <row r="50" spans="1:10" ht="14.25" customHeight="1">
      <c r="A50" s="103"/>
      <c r="B50" s="137"/>
      <c r="C50" s="103"/>
      <c r="D50" s="214" t="s">
        <v>156</v>
      </c>
      <c r="E50" s="214"/>
      <c r="F50" s="214"/>
      <c r="G50" s="214"/>
      <c r="H50" s="214"/>
      <c r="I50" s="214"/>
      <c r="J50" s="214"/>
    </row>
    <row r="51" spans="1:10" ht="14.25" customHeight="1">
      <c r="A51" s="103"/>
      <c r="B51" s="136" t="s">
        <v>128</v>
      </c>
      <c r="C51" s="214" t="s">
        <v>274</v>
      </c>
      <c r="D51" s="214"/>
      <c r="E51" s="214"/>
      <c r="F51" s="214"/>
      <c r="G51" s="214"/>
      <c r="H51" s="214"/>
      <c r="I51" s="214"/>
      <c r="J51" s="214"/>
    </row>
    <row r="52" spans="1:10" ht="14.25" customHeight="1">
      <c r="A52" s="120"/>
      <c r="B52" s="137"/>
      <c r="C52" s="214" t="s">
        <v>157</v>
      </c>
      <c r="D52" s="214"/>
      <c r="E52" s="214"/>
      <c r="F52" s="214"/>
      <c r="G52" s="214"/>
      <c r="H52" s="214"/>
      <c r="I52" s="214"/>
      <c r="J52" s="214"/>
    </row>
    <row r="53" spans="1:10" ht="14.25" customHeight="1">
      <c r="A53" s="120"/>
      <c r="B53" s="137"/>
      <c r="C53" s="214"/>
      <c r="D53" s="214"/>
      <c r="E53" s="214"/>
      <c r="F53" s="214"/>
      <c r="G53" s="214"/>
      <c r="H53" s="214"/>
      <c r="I53" s="214"/>
      <c r="J53" s="214"/>
    </row>
    <row r="54" spans="1:10" ht="14.25" customHeight="1">
      <c r="A54" s="120"/>
      <c r="B54" s="137"/>
      <c r="C54" s="214"/>
      <c r="D54" s="214"/>
      <c r="E54" s="214"/>
      <c r="F54" s="214"/>
      <c r="G54" s="214"/>
      <c r="H54" s="214"/>
      <c r="I54" s="214"/>
      <c r="J54" s="214"/>
    </row>
    <row r="55" spans="1:10" ht="14.25" customHeight="1">
      <c r="A55" s="120"/>
      <c r="B55" s="138"/>
      <c r="C55" s="214"/>
      <c r="D55" s="214"/>
      <c r="E55" s="214"/>
      <c r="F55" s="214"/>
      <c r="G55" s="214"/>
      <c r="H55" s="214"/>
      <c r="I55" s="214"/>
      <c r="J55" s="214"/>
    </row>
    <row r="56" spans="1:10" ht="14.25" customHeight="1">
      <c r="A56" s="103"/>
      <c r="B56" s="136" t="s">
        <v>158</v>
      </c>
      <c r="C56" s="214" t="s">
        <v>275</v>
      </c>
      <c r="D56" s="214"/>
      <c r="E56" s="214"/>
      <c r="F56" s="214"/>
      <c r="G56" s="214"/>
      <c r="H56" s="214"/>
      <c r="I56" s="214"/>
      <c r="J56" s="214"/>
    </row>
    <row r="57" spans="1:10" ht="14.25" customHeight="1">
      <c r="A57" s="120"/>
      <c r="B57" s="137"/>
      <c r="C57" s="120"/>
      <c r="D57" s="214" t="s">
        <v>159</v>
      </c>
      <c r="E57" s="214"/>
      <c r="F57" s="214"/>
      <c r="G57" s="214"/>
      <c r="H57" s="214"/>
      <c r="I57" s="214"/>
      <c r="J57" s="214"/>
    </row>
    <row r="58" spans="1:10" ht="14.25" customHeight="1">
      <c r="A58" s="120"/>
      <c r="B58" s="137"/>
      <c r="C58" s="120"/>
      <c r="D58" s="214"/>
      <c r="E58" s="214"/>
      <c r="F58" s="214"/>
      <c r="G58" s="214"/>
      <c r="H58" s="214"/>
      <c r="I58" s="214"/>
      <c r="J58" s="214"/>
    </row>
    <row r="59" spans="1:10" ht="14.25" customHeight="1">
      <c r="A59" s="120"/>
      <c r="B59" s="138"/>
      <c r="C59" s="120"/>
      <c r="D59" s="214"/>
      <c r="E59" s="214"/>
      <c r="F59" s="214"/>
      <c r="G59" s="214"/>
      <c r="H59" s="214"/>
      <c r="I59" s="214"/>
      <c r="J59" s="214"/>
    </row>
    <row r="60" spans="1:10" ht="14.25" customHeight="1">
      <c r="A60" s="103"/>
      <c r="B60" s="136" t="s">
        <v>160</v>
      </c>
      <c r="C60" s="214" t="s">
        <v>276</v>
      </c>
      <c r="D60" s="214"/>
      <c r="E60" s="214"/>
      <c r="F60" s="214"/>
      <c r="G60" s="214"/>
      <c r="H60" s="214"/>
      <c r="I60" s="214"/>
      <c r="J60" s="214"/>
    </row>
    <row r="61" spans="1:10" ht="14.25" customHeight="1">
      <c r="A61" s="120"/>
      <c r="B61" s="137"/>
      <c r="C61" s="220" t="s">
        <v>161</v>
      </c>
      <c r="D61" s="220"/>
      <c r="E61" s="220"/>
      <c r="F61" s="220"/>
      <c r="G61" s="220"/>
      <c r="H61" s="220"/>
      <c r="I61" s="220"/>
      <c r="J61" s="220"/>
    </row>
    <row r="62" spans="1:10" ht="14.25" customHeight="1">
      <c r="A62" s="120"/>
      <c r="B62" s="138"/>
      <c r="C62" s="220"/>
      <c r="D62" s="220"/>
      <c r="E62" s="220"/>
      <c r="F62" s="220"/>
      <c r="G62" s="220"/>
      <c r="H62" s="220"/>
      <c r="I62" s="220"/>
      <c r="J62" s="220"/>
    </row>
    <row r="63" spans="1:10" ht="14.25" customHeight="1">
      <c r="A63" s="120"/>
      <c r="B63" s="138"/>
      <c r="C63" s="220"/>
      <c r="D63" s="220"/>
      <c r="E63" s="220"/>
      <c r="F63" s="220"/>
      <c r="G63" s="220"/>
      <c r="H63" s="220"/>
      <c r="I63" s="220"/>
      <c r="J63" s="220"/>
    </row>
    <row r="64" spans="1:10" ht="14.25" customHeight="1">
      <c r="A64" s="120"/>
      <c r="B64" s="138"/>
      <c r="C64" s="220"/>
      <c r="D64" s="220"/>
      <c r="E64" s="220"/>
      <c r="F64" s="220"/>
      <c r="G64" s="220"/>
      <c r="H64" s="220"/>
      <c r="I64" s="220"/>
      <c r="J64" s="220"/>
    </row>
    <row r="65" spans="1:10" ht="14.25" customHeight="1">
      <c r="A65" s="103"/>
      <c r="B65" s="136" t="s">
        <v>162</v>
      </c>
      <c r="C65" s="214" t="s">
        <v>277</v>
      </c>
      <c r="D65" s="214"/>
      <c r="E65" s="214"/>
      <c r="F65" s="214"/>
      <c r="G65" s="214"/>
      <c r="H65" s="214"/>
      <c r="I65" s="214"/>
      <c r="J65" s="214"/>
    </row>
    <row r="66" spans="1:10" ht="14.25" customHeight="1">
      <c r="A66" s="120"/>
      <c r="B66" s="137"/>
      <c r="C66" s="120" t="s">
        <v>163</v>
      </c>
      <c r="D66" s="214" t="s">
        <v>164</v>
      </c>
      <c r="E66" s="214"/>
      <c r="F66" s="214"/>
      <c r="G66" s="214"/>
      <c r="H66" s="214"/>
      <c r="I66" s="214"/>
      <c r="J66" s="214"/>
    </row>
    <row r="67" spans="1:10" ht="14.25" customHeight="1">
      <c r="A67" s="120"/>
      <c r="C67" s="120" t="s">
        <v>165</v>
      </c>
      <c r="D67" s="214" t="s">
        <v>283</v>
      </c>
      <c r="E67" s="214"/>
      <c r="F67" s="214"/>
      <c r="G67" s="214"/>
      <c r="H67" s="214"/>
      <c r="I67" s="214"/>
      <c r="J67" s="214"/>
    </row>
    <row r="68" spans="1:10" ht="14.25" customHeight="1">
      <c r="A68" s="103"/>
      <c r="B68" s="103"/>
      <c r="C68" s="103"/>
      <c r="D68" s="103"/>
      <c r="E68" s="103"/>
      <c r="F68" s="121"/>
      <c r="G68" s="121"/>
      <c r="H68" s="121"/>
      <c r="I68" s="121"/>
      <c r="J68" s="103"/>
    </row>
    <row r="69" spans="1:10" ht="14.25" customHeight="1">
      <c r="A69" s="214" t="s">
        <v>166</v>
      </c>
      <c r="B69" s="214"/>
      <c r="C69" s="214"/>
      <c r="D69" s="214"/>
      <c r="E69" s="214"/>
      <c r="F69" s="214"/>
      <c r="G69" s="214"/>
      <c r="H69" s="214"/>
      <c r="I69" s="214"/>
      <c r="J69" s="214"/>
    </row>
    <row r="70" spans="1:10" ht="14.25" customHeight="1">
      <c r="A70" s="120"/>
      <c r="B70" s="214" t="s">
        <v>167</v>
      </c>
      <c r="C70" s="214"/>
      <c r="D70" s="214"/>
      <c r="E70" s="214"/>
      <c r="F70" s="214"/>
      <c r="G70" s="214"/>
      <c r="H70" s="214"/>
      <c r="I70" s="214"/>
      <c r="J70" s="214"/>
    </row>
    <row r="71" spans="1:10" ht="14.25" customHeight="1">
      <c r="A71" s="103"/>
      <c r="B71" s="103"/>
      <c r="C71" s="103"/>
      <c r="D71" s="103"/>
      <c r="E71" s="103"/>
      <c r="F71" s="121"/>
      <c r="G71" s="121"/>
      <c r="H71" s="121"/>
      <c r="I71" s="121"/>
      <c r="J71" s="103"/>
    </row>
    <row r="72" spans="1:10" ht="14.25" customHeight="1">
      <c r="A72" s="214" t="s">
        <v>168</v>
      </c>
      <c r="B72" s="214"/>
      <c r="C72" s="214"/>
      <c r="D72" s="214"/>
      <c r="E72" s="214"/>
      <c r="F72" s="214"/>
      <c r="G72" s="214"/>
      <c r="H72" s="214"/>
      <c r="I72" s="214"/>
      <c r="J72" s="214"/>
    </row>
    <row r="73" spans="1:10" ht="14.25" customHeight="1">
      <c r="A73" s="107"/>
      <c r="B73" s="214" t="s">
        <v>226</v>
      </c>
      <c r="C73" s="214"/>
      <c r="D73" s="214"/>
      <c r="E73" s="214"/>
      <c r="F73" s="214"/>
      <c r="G73" s="214"/>
      <c r="H73" s="214"/>
      <c r="I73" s="214"/>
      <c r="J73" s="214"/>
    </row>
    <row r="74" spans="1:10" ht="14.25" customHeight="1">
      <c r="A74" s="107"/>
      <c r="B74" s="107"/>
      <c r="C74" s="107"/>
      <c r="D74" s="107"/>
      <c r="E74" s="107"/>
      <c r="F74" s="139"/>
      <c r="G74" s="139"/>
      <c r="H74" s="139"/>
      <c r="I74" s="139"/>
      <c r="J74" s="107"/>
    </row>
    <row r="75" spans="1:10" ht="14.25" customHeight="1">
      <c r="A75" s="214" t="s">
        <v>169</v>
      </c>
      <c r="B75" s="214"/>
      <c r="C75" s="214"/>
      <c r="D75" s="214"/>
      <c r="E75" s="214"/>
      <c r="F75" s="214"/>
      <c r="G75" s="214"/>
      <c r="H75" s="214"/>
      <c r="I75" s="214"/>
      <c r="J75" s="214"/>
    </row>
    <row r="76" spans="1:10" ht="14.25" customHeight="1">
      <c r="A76" s="120"/>
      <c r="B76" s="136" t="s">
        <v>154</v>
      </c>
      <c r="C76" s="214" t="s">
        <v>278</v>
      </c>
      <c r="D76" s="214"/>
      <c r="E76" s="214"/>
      <c r="F76" s="214"/>
      <c r="G76" s="214"/>
      <c r="H76" s="214"/>
      <c r="I76" s="214"/>
      <c r="J76" s="214"/>
    </row>
    <row r="77" spans="3:10" ht="14.25" customHeight="1">
      <c r="C77" s="120" t="s">
        <v>163</v>
      </c>
      <c r="D77" s="220" t="s">
        <v>170</v>
      </c>
      <c r="E77" s="220"/>
      <c r="F77" s="220"/>
      <c r="G77" s="220"/>
      <c r="H77" s="220"/>
      <c r="I77" s="220"/>
      <c r="J77" s="220"/>
    </row>
    <row r="78" spans="3:10" ht="14.25" customHeight="1">
      <c r="C78" s="156"/>
      <c r="D78" s="220"/>
      <c r="E78" s="220"/>
      <c r="F78" s="220"/>
      <c r="G78" s="220"/>
      <c r="H78" s="220"/>
      <c r="I78" s="220"/>
      <c r="J78" s="220"/>
    </row>
    <row r="79" spans="3:10" ht="14.25" customHeight="1">
      <c r="C79" s="120" t="s">
        <v>249</v>
      </c>
      <c r="D79" s="220" t="s">
        <v>171</v>
      </c>
      <c r="E79" s="220"/>
      <c r="F79" s="220"/>
      <c r="G79" s="220"/>
      <c r="H79" s="220"/>
      <c r="I79" s="220"/>
      <c r="J79" s="220"/>
    </row>
    <row r="80" spans="3:10" ht="14.25" customHeight="1">
      <c r="C80" s="120" t="s">
        <v>172</v>
      </c>
      <c r="D80" s="220" t="s">
        <v>173</v>
      </c>
      <c r="E80" s="220"/>
      <c r="F80" s="220"/>
      <c r="G80" s="220"/>
      <c r="H80" s="220"/>
      <c r="I80" s="220"/>
      <c r="J80" s="220"/>
    </row>
    <row r="81" spans="3:10" ht="14.25" customHeight="1">
      <c r="C81" s="120"/>
      <c r="D81" s="220"/>
      <c r="E81" s="220"/>
      <c r="F81" s="220"/>
      <c r="G81" s="220"/>
      <c r="H81" s="220"/>
      <c r="I81" s="220"/>
      <c r="J81" s="220"/>
    </row>
    <row r="82" spans="3:10" ht="14.25" customHeight="1">
      <c r="C82" s="120" t="s">
        <v>174</v>
      </c>
      <c r="D82" s="220" t="s">
        <v>175</v>
      </c>
      <c r="E82" s="220"/>
      <c r="F82" s="220"/>
      <c r="G82" s="220"/>
      <c r="H82" s="220"/>
      <c r="I82" s="220"/>
      <c r="J82" s="220"/>
    </row>
    <row r="83" spans="3:10" ht="14.25" customHeight="1">
      <c r="C83" s="120"/>
      <c r="D83" s="220"/>
      <c r="E83" s="220"/>
      <c r="F83" s="220"/>
      <c r="G83" s="220"/>
      <c r="H83" s="220"/>
      <c r="I83" s="220"/>
      <c r="J83" s="220"/>
    </row>
    <row r="84" spans="3:10" ht="14.25" customHeight="1">
      <c r="C84" s="120"/>
      <c r="D84" s="220" t="s">
        <v>176</v>
      </c>
      <c r="E84" s="220"/>
      <c r="F84" s="220"/>
      <c r="G84" s="220"/>
      <c r="H84" s="220"/>
      <c r="I84" s="220"/>
      <c r="J84" s="220"/>
    </row>
    <row r="85" spans="3:10" ht="14.25" customHeight="1">
      <c r="C85" s="120" t="s">
        <v>177</v>
      </c>
      <c r="D85" s="220" t="s">
        <v>178</v>
      </c>
      <c r="E85" s="220"/>
      <c r="F85" s="220"/>
      <c r="G85" s="220"/>
      <c r="H85" s="220"/>
      <c r="I85" s="220"/>
      <c r="J85" s="220"/>
    </row>
    <row r="86" spans="3:10" ht="14.25" customHeight="1">
      <c r="C86" s="120"/>
      <c r="D86" s="220"/>
      <c r="E86" s="220"/>
      <c r="F86" s="220"/>
      <c r="G86" s="220"/>
      <c r="H86" s="220"/>
      <c r="I86" s="220"/>
      <c r="J86" s="220"/>
    </row>
    <row r="87" spans="3:10" ht="14.25" customHeight="1">
      <c r="C87" s="120" t="s">
        <v>179</v>
      </c>
      <c r="D87" s="220" t="s">
        <v>180</v>
      </c>
      <c r="E87" s="220"/>
      <c r="F87" s="220"/>
      <c r="G87" s="220"/>
      <c r="H87" s="220"/>
      <c r="I87" s="220"/>
      <c r="J87" s="220"/>
    </row>
    <row r="88" spans="3:10" ht="14.25" customHeight="1">
      <c r="C88" s="120" t="s">
        <v>181</v>
      </c>
      <c r="D88" s="220" t="s">
        <v>182</v>
      </c>
      <c r="E88" s="220"/>
      <c r="F88" s="220"/>
      <c r="G88" s="220"/>
      <c r="H88" s="220"/>
      <c r="I88" s="220"/>
      <c r="J88" s="220"/>
    </row>
    <row r="89" spans="3:10" ht="14.25" customHeight="1">
      <c r="C89" s="158"/>
      <c r="D89" s="220"/>
      <c r="E89" s="220"/>
      <c r="F89" s="220"/>
      <c r="G89" s="220"/>
      <c r="H89" s="220"/>
      <c r="I89" s="220"/>
      <c r="J89" s="220"/>
    </row>
    <row r="90" spans="3:10" ht="14.25" customHeight="1">
      <c r="C90" s="120" t="s">
        <v>183</v>
      </c>
      <c r="D90" s="220" t="s">
        <v>184</v>
      </c>
      <c r="E90" s="220"/>
      <c r="F90" s="220"/>
      <c r="G90" s="220"/>
      <c r="H90" s="220"/>
      <c r="I90" s="220"/>
      <c r="J90" s="220"/>
    </row>
    <row r="91" spans="3:10" ht="14.25" customHeight="1">
      <c r="C91" s="138"/>
      <c r="D91" s="220"/>
      <c r="E91" s="220"/>
      <c r="F91" s="220"/>
      <c r="G91" s="220"/>
      <c r="H91" s="220"/>
      <c r="I91" s="220"/>
      <c r="J91" s="220"/>
    </row>
    <row r="92" spans="3:10" ht="14.25" customHeight="1">
      <c r="C92" s="138" t="s">
        <v>185</v>
      </c>
      <c r="D92" s="220" t="s">
        <v>186</v>
      </c>
      <c r="E92" s="220"/>
      <c r="F92" s="220"/>
      <c r="G92" s="220"/>
      <c r="H92" s="220"/>
      <c r="I92" s="220"/>
      <c r="J92" s="220"/>
    </row>
    <row r="93" spans="1:10" ht="14.25" customHeight="1">
      <c r="A93" s="120"/>
      <c r="B93" s="136" t="s">
        <v>187</v>
      </c>
      <c r="C93" s="214" t="s">
        <v>279</v>
      </c>
      <c r="D93" s="214"/>
      <c r="E93" s="214"/>
      <c r="F93" s="214"/>
      <c r="G93" s="214"/>
      <c r="H93" s="214"/>
      <c r="I93" s="214"/>
      <c r="J93" s="214"/>
    </row>
    <row r="94" spans="1:10" ht="14.25" customHeight="1">
      <c r="A94" s="138"/>
      <c r="B94" s="138"/>
      <c r="C94" s="214" t="s">
        <v>188</v>
      </c>
      <c r="D94" s="214"/>
      <c r="E94" s="214"/>
      <c r="F94" s="214"/>
      <c r="G94" s="214"/>
      <c r="H94" s="214"/>
      <c r="I94" s="214"/>
      <c r="J94" s="214"/>
    </row>
    <row r="95" spans="1:10" ht="14.25" customHeight="1">
      <c r="A95" s="138"/>
      <c r="B95" s="138"/>
      <c r="C95" s="214" t="s">
        <v>189</v>
      </c>
      <c r="D95" s="214"/>
      <c r="E95" s="214"/>
      <c r="F95" s="214"/>
      <c r="G95" s="214"/>
      <c r="H95" s="214"/>
      <c r="I95" s="214"/>
      <c r="J95" s="214"/>
    </row>
    <row r="96" spans="1:10" ht="14.25" customHeight="1">
      <c r="A96" s="138"/>
      <c r="B96" s="138"/>
      <c r="C96" s="214" t="s">
        <v>190</v>
      </c>
      <c r="D96" s="214"/>
      <c r="E96" s="214"/>
      <c r="F96" s="214"/>
      <c r="G96" s="214"/>
      <c r="H96" s="214"/>
      <c r="I96" s="214"/>
      <c r="J96" s="214"/>
    </row>
    <row r="97" spans="3:10" ht="14.25" customHeight="1">
      <c r="C97" s="138" t="s">
        <v>163</v>
      </c>
      <c r="D97" s="214" t="s">
        <v>191</v>
      </c>
      <c r="E97" s="214"/>
      <c r="F97" s="214"/>
      <c r="G97" s="214"/>
      <c r="H97" s="214"/>
      <c r="I97" s="214"/>
      <c r="J97" s="214"/>
    </row>
    <row r="98" spans="3:10" ht="14.25" customHeight="1">
      <c r="C98" s="138" t="s">
        <v>165</v>
      </c>
      <c r="D98" s="214" t="s">
        <v>192</v>
      </c>
      <c r="E98" s="214"/>
      <c r="F98" s="214"/>
      <c r="G98" s="214"/>
      <c r="H98" s="214"/>
      <c r="I98" s="214"/>
      <c r="J98" s="214"/>
    </row>
    <row r="99" spans="3:10" ht="14.25" customHeight="1">
      <c r="C99" s="138" t="s">
        <v>172</v>
      </c>
      <c r="D99" s="214" t="s">
        <v>193</v>
      </c>
      <c r="E99" s="214"/>
      <c r="F99" s="214"/>
      <c r="G99" s="214"/>
      <c r="H99" s="214"/>
      <c r="I99" s="214"/>
      <c r="J99" s="214"/>
    </row>
    <row r="100" spans="1:10" ht="14.25" customHeight="1">
      <c r="A100" s="138"/>
      <c r="B100" s="138"/>
      <c r="C100" s="138"/>
      <c r="D100" s="120"/>
      <c r="E100" s="120"/>
      <c r="F100" s="140"/>
      <c r="G100" s="140"/>
      <c r="H100" s="140"/>
      <c r="I100" s="140"/>
      <c r="J100" s="120"/>
    </row>
    <row r="101" spans="1:10" ht="14.25" customHeight="1">
      <c r="A101" s="214" t="s">
        <v>194</v>
      </c>
      <c r="B101" s="214"/>
      <c r="C101" s="214"/>
      <c r="D101" s="214"/>
      <c r="E101" s="214"/>
      <c r="F101" s="214"/>
      <c r="G101" s="214"/>
      <c r="H101" s="214"/>
      <c r="I101" s="214"/>
      <c r="J101" s="214"/>
    </row>
    <row r="102" spans="2:10" ht="14.25" customHeight="1">
      <c r="B102" s="136" t="s">
        <v>154</v>
      </c>
      <c r="C102" s="220" t="s">
        <v>195</v>
      </c>
      <c r="D102" s="220"/>
      <c r="E102" s="220"/>
      <c r="F102" s="220"/>
      <c r="G102" s="220"/>
      <c r="H102" s="220"/>
      <c r="I102" s="220"/>
      <c r="J102" s="220"/>
    </row>
    <row r="103" spans="1:10" ht="14.25" customHeight="1">
      <c r="A103" s="138"/>
      <c r="B103" s="137"/>
      <c r="C103" s="220"/>
      <c r="D103" s="220"/>
      <c r="E103" s="220"/>
      <c r="F103" s="220"/>
      <c r="G103" s="220"/>
      <c r="H103" s="220"/>
      <c r="I103" s="220"/>
      <c r="J103" s="220"/>
    </row>
    <row r="104" spans="2:10" ht="14.25" customHeight="1">
      <c r="B104" s="137"/>
      <c r="C104" s="220"/>
      <c r="D104" s="220"/>
      <c r="E104" s="220"/>
      <c r="F104" s="220"/>
      <c r="G104" s="220"/>
      <c r="H104" s="220"/>
      <c r="I104" s="220"/>
      <c r="J104" s="220"/>
    </row>
    <row r="105" spans="2:10" ht="14.25" customHeight="1">
      <c r="B105" s="137"/>
      <c r="C105" s="138" t="s">
        <v>163</v>
      </c>
      <c r="D105" s="214" t="s">
        <v>196</v>
      </c>
      <c r="E105" s="214"/>
      <c r="F105" s="214"/>
      <c r="G105" s="214"/>
      <c r="H105" s="214"/>
      <c r="I105" s="214"/>
      <c r="J105" s="214"/>
    </row>
    <row r="106" spans="2:10" ht="14.25" customHeight="1">
      <c r="B106" s="137"/>
      <c r="C106" s="138" t="s">
        <v>165</v>
      </c>
      <c r="D106" s="214" t="s">
        <v>197</v>
      </c>
      <c r="E106" s="214"/>
      <c r="F106" s="214"/>
      <c r="G106" s="214"/>
      <c r="H106" s="214"/>
      <c r="I106" s="214"/>
      <c r="J106" s="214"/>
    </row>
    <row r="107" spans="2:10" ht="14.25" customHeight="1">
      <c r="B107" s="137"/>
      <c r="C107" s="138" t="s">
        <v>172</v>
      </c>
      <c r="D107" s="214" t="s">
        <v>198</v>
      </c>
      <c r="E107" s="214"/>
      <c r="F107" s="214"/>
      <c r="G107" s="214"/>
      <c r="H107" s="214"/>
      <c r="I107" s="214"/>
      <c r="J107" s="214"/>
    </row>
    <row r="108" spans="1:10" ht="14.25" customHeight="1">
      <c r="A108" s="119"/>
      <c r="B108" s="136" t="s">
        <v>128</v>
      </c>
      <c r="C108" s="214" t="s">
        <v>199</v>
      </c>
      <c r="D108" s="214"/>
      <c r="E108" s="214"/>
      <c r="F108" s="214"/>
      <c r="G108" s="214"/>
      <c r="H108" s="214"/>
      <c r="I108" s="214"/>
      <c r="J108" s="214"/>
    </row>
    <row r="109" spans="2:10" ht="14.25" customHeight="1">
      <c r="B109" s="137"/>
      <c r="C109" s="214"/>
      <c r="D109" s="214"/>
      <c r="E109" s="214"/>
      <c r="F109" s="214"/>
      <c r="G109" s="214"/>
      <c r="H109" s="214"/>
      <c r="I109" s="214"/>
      <c r="J109" s="214"/>
    </row>
    <row r="110" spans="1:10" ht="14.25" customHeight="1">
      <c r="A110" s="119"/>
      <c r="B110" s="136" t="s">
        <v>158</v>
      </c>
      <c r="C110" s="214" t="s">
        <v>200</v>
      </c>
      <c r="D110" s="214"/>
      <c r="E110" s="214"/>
      <c r="F110" s="214"/>
      <c r="G110" s="214"/>
      <c r="H110" s="214"/>
      <c r="I110" s="214"/>
      <c r="J110" s="214"/>
    </row>
    <row r="111" spans="1:10" ht="14.25" customHeight="1">
      <c r="A111" s="119"/>
      <c r="B111" s="136" t="s">
        <v>160</v>
      </c>
      <c r="C111" s="214" t="s">
        <v>201</v>
      </c>
      <c r="D111" s="214"/>
      <c r="E111" s="214"/>
      <c r="F111" s="214"/>
      <c r="G111" s="214"/>
      <c r="H111" s="214"/>
      <c r="I111" s="214"/>
      <c r="J111" s="214"/>
    </row>
    <row r="112" spans="1:10" ht="14.25" customHeight="1">
      <c r="A112" s="138"/>
      <c r="B112" s="138"/>
      <c r="C112" s="138"/>
      <c r="D112" s="107"/>
      <c r="E112" s="107"/>
      <c r="F112" s="139"/>
      <c r="G112" s="139"/>
      <c r="H112" s="139"/>
      <c r="I112" s="139"/>
      <c r="J112" s="107"/>
    </row>
    <row r="113" spans="1:10" ht="14.25" customHeight="1">
      <c r="A113" s="214" t="s">
        <v>202</v>
      </c>
      <c r="B113" s="214"/>
      <c r="C113" s="214"/>
      <c r="D113" s="214"/>
      <c r="E113" s="214"/>
      <c r="F113" s="214"/>
      <c r="G113" s="214"/>
      <c r="H113" s="214"/>
      <c r="I113" s="214"/>
      <c r="J113" s="214"/>
    </row>
    <row r="114" spans="1:10" ht="14.25" customHeight="1">
      <c r="A114" s="138"/>
      <c r="B114" s="214" t="s">
        <v>203</v>
      </c>
      <c r="C114" s="214"/>
      <c r="D114" s="214"/>
      <c r="E114" s="214"/>
      <c r="F114" s="214"/>
      <c r="G114" s="214"/>
      <c r="H114" s="214"/>
      <c r="I114" s="214"/>
      <c r="J114" s="214"/>
    </row>
    <row r="115" spans="1:10" ht="14.25" customHeight="1">
      <c r="A115" s="138"/>
      <c r="B115" s="138"/>
      <c r="C115" s="138"/>
      <c r="D115" s="107"/>
      <c r="E115" s="107"/>
      <c r="F115" s="139"/>
      <c r="G115" s="139"/>
      <c r="H115" s="139"/>
      <c r="I115" s="139"/>
      <c r="J115" s="107"/>
    </row>
    <row r="116" spans="1:10" ht="14.25" customHeight="1">
      <c r="A116" s="214" t="s">
        <v>204</v>
      </c>
      <c r="B116" s="214"/>
      <c r="C116" s="214"/>
      <c r="D116" s="214"/>
      <c r="E116" s="214"/>
      <c r="F116" s="214"/>
      <c r="G116" s="214"/>
      <c r="H116" s="214"/>
      <c r="I116" s="214"/>
      <c r="J116" s="214"/>
    </row>
    <row r="117" spans="1:10" ht="14.25" customHeight="1">
      <c r="A117" s="138"/>
      <c r="B117" s="220" t="s">
        <v>205</v>
      </c>
      <c r="C117" s="220"/>
      <c r="D117" s="220"/>
      <c r="E117" s="220"/>
      <c r="F117" s="220"/>
      <c r="G117" s="220"/>
      <c r="H117" s="220"/>
      <c r="I117" s="220"/>
      <c r="J117" s="220"/>
    </row>
    <row r="118" spans="1:10" ht="14.25" customHeight="1">
      <c r="A118" s="138"/>
      <c r="B118" s="220"/>
      <c r="C118" s="220"/>
      <c r="D118" s="220"/>
      <c r="E118" s="220"/>
      <c r="F118" s="220"/>
      <c r="G118" s="220"/>
      <c r="H118" s="220"/>
      <c r="I118" s="220"/>
      <c r="J118" s="220"/>
    </row>
    <row r="119" spans="1:10" ht="14.25" customHeight="1">
      <c r="A119" s="138"/>
      <c r="B119" s="138"/>
      <c r="C119" s="138"/>
      <c r="D119" s="107"/>
      <c r="E119" s="107"/>
      <c r="F119" s="139"/>
      <c r="G119" s="139"/>
      <c r="H119" s="139"/>
      <c r="I119" s="139"/>
      <c r="J119" s="107"/>
    </row>
    <row r="120" spans="1:10" ht="14.25" customHeight="1">
      <c r="A120" s="214" t="s">
        <v>206</v>
      </c>
      <c r="B120" s="214"/>
      <c r="C120" s="214"/>
      <c r="D120" s="214"/>
      <c r="E120" s="214"/>
      <c r="F120" s="214"/>
      <c r="G120" s="214"/>
      <c r="H120" s="214"/>
      <c r="I120" s="214"/>
      <c r="J120" s="214"/>
    </row>
    <row r="121" spans="1:10" ht="14.25" customHeight="1">
      <c r="A121" s="119"/>
      <c r="B121" s="136" t="s">
        <v>154</v>
      </c>
      <c r="C121" s="214" t="s">
        <v>207</v>
      </c>
      <c r="D121" s="214"/>
      <c r="E121" s="214"/>
      <c r="F121" s="214"/>
      <c r="G121" s="214"/>
      <c r="H121" s="214"/>
      <c r="I121" s="214"/>
      <c r="J121" s="214"/>
    </row>
    <row r="122" spans="1:10" ht="14.25" customHeight="1">
      <c r="A122" s="138"/>
      <c r="B122" s="137"/>
      <c r="C122" s="214"/>
      <c r="D122" s="214"/>
      <c r="E122" s="214"/>
      <c r="F122" s="214"/>
      <c r="G122" s="214"/>
      <c r="H122" s="214"/>
      <c r="I122" s="214"/>
      <c r="J122" s="214"/>
    </row>
    <row r="123" spans="1:10" ht="14.25" customHeight="1">
      <c r="A123" s="119"/>
      <c r="B123" s="136" t="s">
        <v>128</v>
      </c>
      <c r="C123" s="214" t="s">
        <v>208</v>
      </c>
      <c r="D123" s="214"/>
      <c r="E123" s="214"/>
      <c r="F123" s="214"/>
      <c r="G123" s="214"/>
      <c r="H123" s="214"/>
      <c r="I123" s="214"/>
      <c r="J123" s="214"/>
    </row>
    <row r="124" spans="3:10" ht="14.25" customHeight="1">
      <c r="C124" s="214"/>
      <c r="D124" s="214"/>
      <c r="E124" s="214"/>
      <c r="F124" s="214"/>
      <c r="G124" s="214"/>
      <c r="H124" s="214"/>
      <c r="I124" s="214"/>
      <c r="J124" s="214"/>
    </row>
    <row r="125" spans="4:10" ht="14.25" customHeight="1">
      <c r="D125" s="214" t="s">
        <v>209</v>
      </c>
      <c r="E125" s="214"/>
      <c r="F125" s="214"/>
      <c r="G125" s="214"/>
      <c r="H125" s="214"/>
      <c r="I125" s="214"/>
      <c r="J125" s="214"/>
    </row>
    <row r="126" spans="4:10" ht="14.25" customHeight="1">
      <c r="D126" s="214" t="s">
        <v>210</v>
      </c>
      <c r="E126" s="214"/>
      <c r="F126" s="214"/>
      <c r="G126" s="214"/>
      <c r="H126" s="214"/>
      <c r="I126" s="214"/>
      <c r="J126" s="214"/>
    </row>
    <row r="127" spans="4:10" ht="14.25" customHeight="1">
      <c r="D127" s="214" t="s">
        <v>211</v>
      </c>
      <c r="E127" s="214"/>
      <c r="F127" s="214"/>
      <c r="G127" s="214"/>
      <c r="H127" s="214"/>
      <c r="I127" s="214"/>
      <c r="J127" s="214"/>
    </row>
    <row r="128" spans="4:10" ht="14.25" customHeight="1">
      <c r="D128" s="214" t="s">
        <v>212</v>
      </c>
      <c r="E128" s="214"/>
      <c r="F128" s="214"/>
      <c r="G128" s="214"/>
      <c r="H128" s="214"/>
      <c r="I128" s="214"/>
      <c r="J128" s="214"/>
    </row>
    <row r="129" spans="4:10" ht="14.25" customHeight="1">
      <c r="D129" s="214" t="s">
        <v>213</v>
      </c>
      <c r="E129" s="214"/>
      <c r="F129" s="214"/>
      <c r="G129" s="214"/>
      <c r="H129" s="214"/>
      <c r="I129" s="214"/>
      <c r="J129" s="214"/>
    </row>
    <row r="130" spans="4:10" ht="14.25" customHeight="1">
      <c r="D130" s="214" t="s">
        <v>214</v>
      </c>
      <c r="E130" s="214"/>
      <c r="F130" s="214"/>
      <c r="G130" s="214"/>
      <c r="H130" s="214"/>
      <c r="I130" s="214"/>
      <c r="J130" s="214"/>
    </row>
    <row r="131" spans="4:10" ht="14.25" customHeight="1">
      <c r="D131" s="214" t="s">
        <v>215</v>
      </c>
      <c r="E131" s="214"/>
      <c r="F131" s="214"/>
      <c r="G131" s="214"/>
      <c r="H131" s="214"/>
      <c r="I131" s="214"/>
      <c r="J131" s="214"/>
    </row>
    <row r="132" spans="4:10" ht="14.25" customHeight="1">
      <c r="D132" s="120"/>
      <c r="E132" s="120"/>
      <c r="F132" s="140"/>
      <c r="G132" s="140"/>
      <c r="H132" s="140"/>
      <c r="I132" s="140"/>
      <c r="J132" s="120"/>
    </row>
    <row r="133" spans="1:10" ht="14.25" customHeight="1">
      <c r="A133" s="214" t="s">
        <v>216</v>
      </c>
      <c r="B133" s="214"/>
      <c r="C133" s="214"/>
      <c r="D133" s="214"/>
      <c r="E133" s="214"/>
      <c r="F133" s="214"/>
      <c r="G133" s="214"/>
      <c r="H133" s="214"/>
      <c r="I133" s="214"/>
      <c r="J133" s="214"/>
    </row>
    <row r="134" spans="2:10" ht="14.25" customHeight="1">
      <c r="B134" s="214" t="s">
        <v>217</v>
      </c>
      <c r="C134" s="214"/>
      <c r="D134" s="214"/>
      <c r="E134" s="214"/>
      <c r="F134" s="214"/>
      <c r="G134" s="214"/>
      <c r="H134" s="214"/>
      <c r="I134" s="214"/>
      <c r="J134" s="214"/>
    </row>
    <row r="135" spans="1:10" ht="14.25" customHeight="1">
      <c r="A135" s="119"/>
      <c r="B135" s="136" t="s">
        <v>154</v>
      </c>
      <c r="C135" s="214" t="s">
        <v>281</v>
      </c>
      <c r="D135" s="214"/>
      <c r="E135" s="214"/>
      <c r="F135" s="214"/>
      <c r="G135" s="214"/>
      <c r="H135" s="214"/>
      <c r="I135" s="214"/>
      <c r="J135" s="214"/>
    </row>
    <row r="136" spans="1:10" ht="14.25" customHeight="1">
      <c r="A136" s="138"/>
      <c r="C136" s="138"/>
      <c r="D136" s="214" t="s">
        <v>218</v>
      </c>
      <c r="E136" s="214"/>
      <c r="F136" s="214"/>
      <c r="G136" s="214"/>
      <c r="H136" s="214"/>
      <c r="I136" s="214"/>
      <c r="J136" s="214"/>
    </row>
    <row r="137" spans="4:10" ht="14.25" customHeight="1">
      <c r="D137" s="214" t="s">
        <v>219</v>
      </c>
      <c r="E137" s="214"/>
      <c r="F137" s="214"/>
      <c r="G137" s="214"/>
      <c r="H137" s="214"/>
      <c r="I137" s="214"/>
      <c r="J137" s="214"/>
    </row>
    <row r="138" spans="1:10" ht="14.25" customHeight="1">
      <c r="A138" s="119"/>
      <c r="B138" s="119"/>
      <c r="C138" s="119"/>
      <c r="D138" s="214" t="s">
        <v>220</v>
      </c>
      <c r="E138" s="214"/>
      <c r="F138" s="214"/>
      <c r="G138" s="214"/>
      <c r="H138" s="214"/>
      <c r="I138" s="214"/>
      <c r="J138" s="214"/>
    </row>
    <row r="139" spans="1:10" ht="14.25" customHeight="1">
      <c r="A139" s="119"/>
      <c r="B139" s="136" t="s">
        <v>128</v>
      </c>
      <c r="C139" s="214" t="s">
        <v>282</v>
      </c>
      <c r="D139" s="214"/>
      <c r="E139" s="214"/>
      <c r="F139" s="214"/>
      <c r="G139" s="214"/>
      <c r="H139" s="214"/>
      <c r="I139" s="214"/>
      <c r="J139" s="214"/>
    </row>
    <row r="140" spans="1:10" ht="14.25" customHeight="1">
      <c r="A140" s="119"/>
      <c r="B140" s="119"/>
      <c r="C140" s="220" t="s">
        <v>221</v>
      </c>
      <c r="D140" s="220"/>
      <c r="E140" s="220"/>
      <c r="F140" s="220"/>
      <c r="G140" s="220"/>
      <c r="H140" s="220"/>
      <c r="I140" s="220"/>
      <c r="J140" s="220"/>
    </row>
    <row r="141" spans="3:10" ht="14.25" customHeight="1">
      <c r="C141" s="220"/>
      <c r="D141" s="220"/>
      <c r="E141" s="220"/>
      <c r="F141" s="220"/>
      <c r="G141" s="220"/>
      <c r="H141" s="220"/>
      <c r="I141" s="220"/>
      <c r="J141" s="220"/>
    </row>
    <row r="142" spans="4:10" ht="14.25" customHeight="1">
      <c r="D142" s="120"/>
      <c r="E142" s="120"/>
      <c r="F142" s="140"/>
      <c r="G142" s="140"/>
      <c r="H142" s="140"/>
      <c r="I142" s="140"/>
      <c r="J142" s="120"/>
    </row>
    <row r="143" spans="1:10" ht="14.25" customHeight="1">
      <c r="A143" s="214" t="s">
        <v>222</v>
      </c>
      <c r="B143" s="214"/>
      <c r="C143" s="214"/>
      <c r="D143" s="214"/>
      <c r="E143" s="214"/>
      <c r="F143" s="214"/>
      <c r="G143" s="214"/>
      <c r="H143" s="214"/>
      <c r="I143" s="214"/>
      <c r="J143" s="214"/>
    </row>
    <row r="144" spans="1:10" ht="14.25" customHeight="1">
      <c r="A144" s="119"/>
      <c r="B144" s="136" t="s">
        <v>154</v>
      </c>
      <c r="C144" s="214" t="s">
        <v>223</v>
      </c>
      <c r="D144" s="214"/>
      <c r="E144" s="214"/>
      <c r="F144" s="214"/>
      <c r="G144" s="214"/>
      <c r="H144" s="214"/>
      <c r="I144" s="214"/>
      <c r="J144" s="214"/>
    </row>
    <row r="145" spans="1:10" ht="14.25" customHeight="1">
      <c r="A145" s="119"/>
      <c r="B145" s="136" t="s">
        <v>128</v>
      </c>
      <c r="C145" s="214" t="s">
        <v>224</v>
      </c>
      <c r="D145" s="214"/>
      <c r="E145" s="214"/>
      <c r="F145" s="214"/>
      <c r="G145" s="214"/>
      <c r="H145" s="214"/>
      <c r="I145" s="214"/>
      <c r="J145" s="214"/>
    </row>
    <row r="146" spans="1:10" ht="14.25" customHeight="1">
      <c r="A146" s="119"/>
      <c r="B146" s="136" t="s">
        <v>158</v>
      </c>
      <c r="C146" s="220" t="s">
        <v>225</v>
      </c>
      <c r="D146" s="220"/>
      <c r="E146" s="220"/>
      <c r="F146" s="220"/>
      <c r="G146" s="220"/>
      <c r="H146" s="220"/>
      <c r="I146" s="220"/>
      <c r="J146" s="220"/>
    </row>
    <row r="147" spans="1:10" ht="14.25" customHeight="1">
      <c r="A147" s="137"/>
      <c r="C147" s="220"/>
      <c r="D147" s="220"/>
      <c r="E147" s="220"/>
      <c r="F147" s="220"/>
      <c r="G147" s="220"/>
      <c r="H147" s="220"/>
      <c r="I147" s="220"/>
      <c r="J147" s="220"/>
    </row>
    <row r="148" spans="1:10" ht="14.25" customHeight="1">
      <c r="A148" s="137"/>
      <c r="B148" s="137"/>
      <c r="C148" s="220"/>
      <c r="D148" s="220"/>
      <c r="E148" s="220"/>
      <c r="F148" s="220"/>
      <c r="G148" s="220"/>
      <c r="H148" s="220"/>
      <c r="I148" s="220"/>
      <c r="J148" s="220"/>
    </row>
    <row r="149" spans="1:10" ht="14.25" customHeight="1">
      <c r="A149" s="119"/>
      <c r="B149" s="136" t="s">
        <v>160</v>
      </c>
      <c r="C149" s="220" t="s">
        <v>280</v>
      </c>
      <c r="D149" s="220"/>
      <c r="E149" s="220"/>
      <c r="F149" s="220"/>
      <c r="G149" s="220"/>
      <c r="H149" s="220"/>
      <c r="I149" s="220"/>
      <c r="J149" s="220"/>
    </row>
    <row r="150" spans="1:10" ht="14.25" customHeight="1">
      <c r="A150" s="119"/>
      <c r="B150" s="136" t="s">
        <v>162</v>
      </c>
      <c r="C150" s="214" t="s">
        <v>285</v>
      </c>
      <c r="D150" s="214"/>
      <c r="E150" s="214"/>
      <c r="F150" s="214"/>
      <c r="G150" s="214"/>
      <c r="H150" s="214"/>
      <c r="I150" s="214"/>
      <c r="J150" s="214"/>
    </row>
    <row r="151" spans="1:10" ht="14.25" customHeight="1">
      <c r="A151" s="119"/>
      <c r="B151" s="119"/>
      <c r="C151" s="214"/>
      <c r="D151" s="214"/>
      <c r="E151" s="214"/>
      <c r="F151" s="214"/>
      <c r="G151" s="214"/>
      <c r="H151" s="214"/>
      <c r="I151" s="214"/>
      <c r="J151" s="214"/>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60" t="s">
        <v>43</v>
      </c>
      <c r="B1" s="260"/>
      <c r="C1" s="260"/>
      <c r="D1" s="260"/>
      <c r="E1" s="260"/>
      <c r="F1" s="260"/>
      <c r="G1" s="260"/>
      <c r="H1" s="260"/>
    </row>
    <row r="2" spans="1:8" ht="13.5">
      <c r="A2" s="261" t="s">
        <v>44</v>
      </c>
      <c r="B2" s="261"/>
      <c r="C2" s="261"/>
      <c r="D2" s="261"/>
      <c r="E2" s="261"/>
      <c r="F2" s="261"/>
      <c r="G2" s="261"/>
      <c r="H2" s="261"/>
    </row>
    <row r="3" spans="1:8" ht="25.5">
      <c r="A3" s="1" t="s">
        <v>45</v>
      </c>
      <c r="B3" s="1" t="s">
        <v>54</v>
      </c>
      <c r="C3" s="1" t="s">
        <v>55</v>
      </c>
      <c r="D3" s="1" t="s">
        <v>46</v>
      </c>
      <c r="E3" s="1" t="s">
        <v>47</v>
      </c>
      <c r="F3" s="1" t="s">
        <v>99</v>
      </c>
      <c r="G3" s="1" t="s">
        <v>48</v>
      </c>
      <c r="H3" s="1" t="s">
        <v>49</v>
      </c>
    </row>
    <row r="4" spans="1:8" ht="33.75">
      <c r="A4" s="2" t="s">
        <v>86</v>
      </c>
      <c r="B4" s="3"/>
      <c r="C4" s="4"/>
      <c r="D4" s="5" t="s">
        <v>50</v>
      </c>
      <c r="E4" s="6" t="s">
        <v>97</v>
      </c>
      <c r="F4" s="92"/>
      <c r="G4" s="3"/>
      <c r="H4" s="7"/>
    </row>
    <row r="5" spans="1:8" ht="21" customHeight="1">
      <c r="A5" s="230" t="s">
        <v>100</v>
      </c>
      <c r="B5" s="262" t="s">
        <v>98</v>
      </c>
      <c r="C5" s="108" t="str">
        <f>IF('入力シート'!C32="適用","過去15年間の同種工事の施工実績（※1）","今回工事ではこの項目を適用しません。")</f>
        <v>今回工事ではこの項目を適用しません。</v>
      </c>
      <c r="D5" s="235" t="str">
        <f>IF('入力シート'!C32="適用","１号","不要")</f>
        <v>不要</v>
      </c>
      <c r="E5" s="230" t="str">
        <f>IF('入力シート'!C32="適用","平成11年4月1日以降に完成した同種工事の元請としての施工実績を１件記入してください。なお、本市発注工事（※2）での実績がある場合は、それを優先して記入してください。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IF('入力シート'!C32="適用","施工実績を証明する書類","")</f>
      </c>
      <c r="G5" s="230">
        <f>IF('入力シート'!$C$32="適用","平成11年4月1日以降に完成した本市発注の同種工事の元請としての施工実績がある。","")</f>
      </c>
      <c r="H5" s="270">
        <f>IF('入力シート'!$C$32="適用",4,"")</f>
      </c>
    </row>
    <row r="6" spans="1:8" ht="9.75" customHeight="1">
      <c r="A6" s="231"/>
      <c r="B6" s="263"/>
      <c r="C6" s="231">
        <f>IF('入力シート'!C32="適用","同種工事："&amp;'入力シート'!E32,"")</f>
      </c>
      <c r="D6" s="265"/>
      <c r="E6" s="231"/>
      <c r="F6" s="23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8"/>
      <c r="H6" s="271"/>
    </row>
    <row r="7" spans="1:8" ht="7.5" customHeight="1">
      <c r="A7" s="231"/>
      <c r="B7" s="263"/>
      <c r="C7" s="231"/>
      <c r="D7" s="265"/>
      <c r="E7" s="231"/>
      <c r="F7" s="231"/>
      <c r="G7" s="147">
        <f>IF('入力シート'!$C$32="適用","平成11年4月1日以降に完成した本市発注以外の同種工事の元請としての施工実績がある。","")</f>
      </c>
      <c r="H7" s="151">
        <f>IF('入力シート'!$C$32="適用",2,"")</f>
      </c>
    </row>
    <row r="8" spans="1:8" ht="13.5">
      <c r="A8" s="231"/>
      <c r="B8" s="264"/>
      <c r="C8" s="232"/>
      <c r="D8" s="236"/>
      <c r="E8" s="232"/>
      <c r="F8" s="232"/>
      <c r="G8" s="150">
        <f>IF('入力シート'!$C$32="適用","実績なし","")</f>
      </c>
      <c r="H8" s="153">
        <f>IF('入力シート'!$C$32="適用",0,"")</f>
      </c>
    </row>
    <row r="9" spans="1:8" ht="59.25" customHeight="1">
      <c r="A9" s="231"/>
      <c r="B9" s="248" t="s">
        <v>51</v>
      </c>
      <c r="C9" s="108" t="str">
        <f>IF('入力シート'!C33="適用","過去2年間の同一登録工種工事での工事成績評定点80点以上の回数（※3）","今回工事ではこの項目を適用しません。")</f>
        <v>過去2年間の同一登録工種工事での工事成績評定点80点以上の回数（※3）</v>
      </c>
      <c r="D9" s="235" t="str">
        <f>IF('入力シート'!C33="適用","１号","不要")</f>
        <v>１号</v>
      </c>
      <c r="E9" s="272" t="str">
        <f>IF('入力シート'!C33="適用","平成"&amp;'入力シート'!E53&amp;"年"&amp;'入力シート'!E54&amp;"月1日から、平成"&amp;'入力シート'!E55&amp;"年"&amp;'入力シート'!E56&amp;"月"&amp;'入力シート'!E57&amp;"日まで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から、平成26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37" t="str">
        <f>IF('入力シート'!C33="適用","工事完成検査結果通知書の写し","")</f>
        <v>工事完成検査結果通知書の写し</v>
      </c>
      <c r="G9" s="149" t="str">
        <f>IF('入力シート'!$C$33="適用","平成"&amp;'入力シート'!E53&amp;"年"&amp;'入力シート'!E54&amp;"月1日から、平成"&amp;'入力シート'!E55&amp;"年"&amp;'入力シート'!E56&amp;"月"&amp;'入力シート'!E57&amp;"日までに完成した本件工事と同一登録工種で評定点80点以上の本市発注工事が２件以上ある。","")</f>
        <v>平成24年4月1日から、平成26年8月31日までに完成した本件工事と同一登録工種で評定点80点以上の本市発注工事が２件以上ある。</v>
      </c>
      <c r="H9" s="152">
        <f>IF('入力シート'!$C$33="適用",4,"")</f>
        <v>4</v>
      </c>
    </row>
    <row r="10" spans="1:8" ht="46.5" customHeight="1">
      <c r="A10" s="231"/>
      <c r="B10" s="277"/>
      <c r="C10" s="157" t="str">
        <f>IF('入力シート'!C33="適用","同一登録工種："&amp;'入力シート'!E33,"")</f>
        <v>同一登録工種：港湾</v>
      </c>
      <c r="D10" s="265"/>
      <c r="E10" s="273"/>
      <c r="F10" s="275"/>
      <c r="G10" s="147" t="str">
        <f>IF('入力シート'!$C$33="適用","平成"&amp;'入力シート'!E53&amp;"年"&amp;'入力シート'!E54&amp;"月1日から、平成"&amp;'入力シート'!E55&amp;"年"&amp;'入力シート'!E56&amp;"月"&amp;'入力シート'!E57&amp;"日までに完成した本件工事と同一登録工種で評定点80点以上の本市発注工事が１件ある。","")</f>
        <v>平成24年4月1日から、平成26年8月31日までに完成した本件工事と同一登録工種で評定点80点以上の本市発注工事が１件ある。</v>
      </c>
      <c r="H10" s="151">
        <f>IF('入力シート'!$C$33="適用",2,"")</f>
        <v>2</v>
      </c>
    </row>
    <row r="11" spans="1:8" ht="29.25" customHeight="1">
      <c r="A11" s="231"/>
      <c r="B11" s="249"/>
      <c r="C11" s="111" t="str">
        <f>IF('入力シート'!C33="適用","過去2年間：平成24年4月1日から開札日の属する月の3か月前の月末までとする期間")</f>
        <v>過去2年間：平成24年4月1日から開札日の属する月の3か月前の月末までとする期間</v>
      </c>
      <c r="D11" s="236"/>
      <c r="E11" s="274"/>
      <c r="F11" s="238"/>
      <c r="G11" s="150" t="str">
        <f>IF('入力シート'!$C$33="適用","該当なし","")</f>
        <v>該当なし</v>
      </c>
      <c r="H11" s="153">
        <f>IF('入力シート'!$C$33="適用",0,"")</f>
        <v>0</v>
      </c>
    </row>
    <row r="12" spans="1:8" ht="33.75">
      <c r="A12" s="231"/>
      <c r="B12" s="248" t="s">
        <v>118</v>
      </c>
      <c r="C12" s="108" t="str">
        <f>IF('入力シート'!C34="適用","過去5年間の優良工事施工会社表彰の回数（※3）","今回工事ではこの項目を適用しません。")</f>
        <v>過去5年間の優良工事施工会社表彰の回数（※3）</v>
      </c>
      <c r="D12" s="235" t="str">
        <f>IF('入力シート'!C34="適用","１号","不要")</f>
        <v>１号</v>
      </c>
      <c r="E12" s="272" t="str">
        <f>IF('入力シート'!C34="適用","平成21年度以降に、本件工事と同一部門で本市における優良工事施工会社表彰を受けている場合に記入してください。","今回工事ではこの項目を適用しません。")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58" t="str">
        <f>IF('入力シート'!C34="適用","不要","")</f>
        <v>不要</v>
      </c>
      <c r="G12" s="149" t="str">
        <f>IF('入力シート'!$C$34="適用","平成21年度以降に、本件工事と同一部門で本市における優良工事施工会社表彰を２回以上受けている。","")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IF('入力シート'!$C$34="適用",4,"")</f>
        <v>4</v>
      </c>
    </row>
    <row r="13" spans="1:8" ht="33.75">
      <c r="A13" s="231"/>
      <c r="B13" s="277"/>
      <c r="C13" s="231" t="str">
        <f>IF('入力シート'!C34="適用","表彰部門："&amp;'入力シート'!E34,"")</f>
        <v>表彰部門：土木（土木・造園）</v>
      </c>
      <c r="D13" s="265"/>
      <c r="E13" s="273"/>
      <c r="F13" s="276"/>
      <c r="G13" s="147" t="str">
        <f>IF('入力シート'!$C$34="適用","平成21年度以降に、本件工事と同一部門で本市における優良工事施工会社表彰を１回受けている。","")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IF('入力シート'!$C$34="適用",2,"")</f>
        <v>2</v>
      </c>
    </row>
    <row r="14" spans="1:8" ht="19.5" customHeight="1">
      <c r="A14" s="231"/>
      <c r="B14" s="249"/>
      <c r="C14" s="232"/>
      <c r="D14" s="236"/>
      <c r="E14" s="274"/>
      <c r="F14" s="259"/>
      <c r="G14" s="150" t="str">
        <f>IF('入力シート'!$C$34="適用","該当なし","")</f>
        <v>該当なし</v>
      </c>
      <c r="H14" s="153">
        <f>IF('入力シート'!$C$34="適用",0,"")</f>
        <v>0</v>
      </c>
    </row>
    <row r="15" spans="1:8" ht="17.25" customHeight="1">
      <c r="A15" s="231"/>
      <c r="B15" s="262" t="s">
        <v>113</v>
      </c>
      <c r="C15" s="233"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35" t="str">
        <f>IF('入力シート'!C35="適用","１号","不要")</f>
        <v>１号</v>
      </c>
      <c r="E15" s="230" t="str">
        <f>IF('入力シート'!C35="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91" t="str">
        <f>IF('入力シート'!C35="適用","施工経験を証明する書類","")</f>
        <v>施工経験を証明する書類</v>
      </c>
      <c r="G15" s="230" t="str">
        <f>IF('入力シート'!$C$35="適用","平成11年4月1日以降に完成した本市発注の同種工事の元請としての施工経験(主任技術者、監理技術者、現場代理人のうち、いずれかの経験)がある。","")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15" s="270">
        <f>IF('入力シート'!$C$35="適用",4,"")</f>
        <v>4</v>
      </c>
    </row>
    <row r="16" spans="1:8" ht="66.75" customHeight="1">
      <c r="A16" s="231"/>
      <c r="B16" s="263"/>
      <c r="C16" s="239"/>
      <c r="D16" s="265"/>
      <c r="E16" s="231"/>
      <c r="F16" s="231"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78"/>
      <c r="H16" s="271"/>
    </row>
    <row r="17" spans="1:8" ht="124.5" customHeight="1">
      <c r="A17" s="231"/>
      <c r="B17" s="263"/>
      <c r="C17" s="231" t="str">
        <f>IF('入力シート'!C35="適用","同種工事："&amp;'入力シート'!E35,"")</f>
        <v>同種工事：グラブ浚渫船を使用したしゅんせつ工事</v>
      </c>
      <c r="D17" s="265"/>
      <c r="E17" s="231"/>
      <c r="F17" s="231"/>
      <c r="G17" s="147" t="str">
        <f>IF('入力シート'!$C$35="適用","平成11年4月1日以降に完成した本市発注以外の同種工事の元請としての施工経験(主任技術者、監理技術者、現場代理人のうち、いずれかの経験)がある。","")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17" s="151">
        <f>IF('入力シート'!$C$35="適用",2,"")</f>
        <v>2</v>
      </c>
    </row>
    <row r="18" spans="1:8" ht="60" customHeight="1">
      <c r="A18" s="231"/>
      <c r="B18" s="263"/>
      <c r="C18" s="231"/>
      <c r="D18" s="265"/>
      <c r="E18" s="231"/>
      <c r="F18" s="231"/>
      <c r="G18" s="279" t="str">
        <f>IF('入力シート'!$C$35="適用","該当なし","")</f>
        <v>該当なし</v>
      </c>
      <c r="H18" s="281">
        <f>IF('入力シート'!$C$35="適用",0,"")</f>
        <v>0</v>
      </c>
    </row>
    <row r="19" spans="1:8" ht="30.75" customHeight="1">
      <c r="A19" s="231"/>
      <c r="B19" s="264"/>
      <c r="C19" s="232"/>
      <c r="D19" s="236"/>
      <c r="E19" s="232"/>
      <c r="F19" s="232"/>
      <c r="G19" s="280"/>
      <c r="H19" s="282"/>
    </row>
    <row r="20" spans="1:8" ht="13.5">
      <c r="A20" s="231"/>
      <c r="B20" s="248" t="s">
        <v>114</v>
      </c>
      <c r="C20" s="248" t="str">
        <f>IF('入力シート'!C36="適用","配置予定技術者（入札公告に定める技術者）が有する資格","今回工事ではこの項目を適用しません。")</f>
        <v>今回工事ではこの項目を適用しません。</v>
      </c>
      <c r="D20" s="235" t="str">
        <f>IF('入力シート'!C36="適用","１号","不要")</f>
        <v>不要</v>
      </c>
      <c r="E20" s="230" t="str">
        <f>IF('入力シート'!C36="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55">
        <f>IF('入力シート'!C36="適用","監理技術者資格者証及び監理技術者講習終了証の写し","")</f>
      </c>
      <c r="G20" s="149">
        <f>IF('入力シート'!$C$36="適用","監理技術者の配置を必要としない工事において、監理技術者資格者証を有する技術者を配置する。","")</f>
      </c>
      <c r="H20" s="152">
        <f>IF('入力シート'!$C$36="適用",4,"")</f>
      </c>
    </row>
    <row r="21" spans="1:8" ht="13.5">
      <c r="A21" s="231"/>
      <c r="B21" s="249"/>
      <c r="C21" s="249"/>
      <c r="D21" s="236"/>
      <c r="E21" s="232"/>
      <c r="F21" s="257"/>
      <c r="G21" s="150">
        <f>IF('入力シート'!$C$36="適用","監理技術者の配置を必要としない工事において、監理技術者資格者証を有する技術者を配置しない。","")</f>
      </c>
      <c r="H21" s="153">
        <f>IF('入力シート'!$C$36="適用",0,"")</f>
      </c>
    </row>
    <row r="22" spans="1:8" ht="13.5">
      <c r="A22" s="231"/>
      <c r="B22" s="248" t="s">
        <v>119</v>
      </c>
      <c r="C22" s="108" t="str">
        <f>IF('入力シート'!C37="適用","過去5年間の配置予定現場代理人の横浜市優良工事現場責任者表彰の有無","今回工事ではこの項目を適用しません。")</f>
        <v>今回工事ではこの項目を適用しません。</v>
      </c>
      <c r="D22" s="235" t="str">
        <f>IF('入力シート'!C37="適用","１号","不要")</f>
        <v>不要</v>
      </c>
      <c r="E22" s="230" t="str">
        <f>IF('入力シート'!C37="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258">
        <f>IF('入力シート'!C37="適用","不要","")</f>
      </c>
      <c r="G22" s="149">
        <f>IF('入力シート'!$C$37="適用","平成21年度以降に、配置予定現場代理人が本件工事と同一部門で横浜市優良工事現場責任者表彰を受けている。","")</f>
      </c>
      <c r="H22" s="152">
        <f>IF('入力シート'!$C$37="適用",2,"")</f>
      </c>
    </row>
    <row r="23" spans="1:8" ht="40.5" customHeight="1">
      <c r="A23" s="231"/>
      <c r="B23" s="277"/>
      <c r="C23" s="231">
        <f>IF('入力シート'!C37="適用","表彰部門："&amp;'入力シート'!E37,"")</f>
      </c>
      <c r="D23" s="265"/>
      <c r="E23" s="231"/>
      <c r="F23" s="276"/>
      <c r="G23" s="279">
        <f>IF('入力シート'!$C$37="適用","受けていない。","")</f>
      </c>
      <c r="H23" s="281">
        <f>IF('入力シート'!$C$37="適用",0,"")</f>
      </c>
    </row>
    <row r="24" spans="1:8" ht="12.75" customHeight="1">
      <c r="A24" s="231"/>
      <c r="B24" s="249"/>
      <c r="C24" s="232"/>
      <c r="D24" s="236"/>
      <c r="E24" s="232"/>
      <c r="F24" s="259"/>
      <c r="G24" s="280"/>
      <c r="H24" s="282"/>
    </row>
    <row r="25" spans="1:8" s="142" customFormat="1" ht="58.5" customHeight="1">
      <c r="A25" s="231"/>
      <c r="B25" s="233" t="s">
        <v>266</v>
      </c>
      <c r="C25" s="233" t="str">
        <f>IF('入力シート'!C38="適用","若手技術者の配置・専任指導技術者の実績（※6）","今回工事ではこの項目を適用しません。")</f>
        <v>若手技術者の配置・専任指導技術者の実績（※6）</v>
      </c>
      <c r="D25" s="240" t="str">
        <f>IF('入力シート'!C38="適用","１号","不要")</f>
        <v>１号</v>
      </c>
      <c r="E25" s="230" t="str">
        <f>IF('入力シート'!C38="適用","若手技術者氏名を記入してください。専任指導技術者を追加配置する場合は、その技術者氏名を記入してください。配置しない場合は、空欄のままにしてください。","今回工事ではこの項目を適用しません。")</f>
        <v>若手技術者氏名を記入してください。専任指導技術者を追加配置する場合は、その技術者氏名を記入してください。配置しない場合は、空欄のままにしてください。</v>
      </c>
      <c r="F25" s="255" t="str">
        <f>IF('入力シート'!C38="適用","若手技術者の年齢を証明できる書類","")</f>
        <v>若手技術者の年齢を証明できる書類</v>
      </c>
      <c r="G25" s="162" t="str">
        <f>IF('入力シート'!$C$38="適用","入札公告で定める技術者に若手技術者を配置する。なお、専任指導技術者を追加配置する場合、以下①、②についても評価できるものとします。","")</f>
        <v>入札公告で定める技術者に若手技術者を配置する。なお、専任指導技術者を追加配置する場合、以下①、②についても評価できるものとします。</v>
      </c>
      <c r="H25" s="160">
        <f>IF('入力シート'!$C$38="適用",1,"")</f>
        <v>1</v>
      </c>
    </row>
    <row r="26" spans="1:8" s="142" customFormat="1" ht="31.5" customHeight="1">
      <c r="A26" s="231"/>
      <c r="B26" s="239"/>
      <c r="C26" s="239"/>
      <c r="D26" s="241"/>
      <c r="E26" s="231"/>
      <c r="F26" s="256"/>
      <c r="G26" s="163" t="str">
        <f>IF('入力シート'!$C$38="適用","入札公告で定める技術者に若手技術者を配置しない。","")</f>
        <v>入札公告で定める技術者に若手技術者を配置しない。</v>
      </c>
      <c r="H26" s="153" t="str">
        <f>IF('入力シート'!$C$38="適用","0","")</f>
        <v>0</v>
      </c>
    </row>
    <row r="27" spans="1:8" s="142" customFormat="1" ht="60" customHeight="1">
      <c r="A27" s="231"/>
      <c r="B27" s="239"/>
      <c r="C27" s="155"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7" s="241"/>
      <c r="E27" s="231"/>
      <c r="F27" s="256"/>
      <c r="G27" s="157" t="str">
        <f>IF('入力シート'!$C$38="適用","①評価項目「配置予定技術者の施工経験」・「配置予定技術者の資格」については、専任指導技術者の所有する実績等でも評価できるものとします。（※9)","")</f>
        <v>①評価項目「配置予定技術者の施工経験」・「配置予定技術者の資格」については、専任指導技術者の所有する実績等でも評価できるものとします。（※9)</v>
      </c>
      <c r="H27" s="270" t="str">
        <f>IF('入力シート'!$C$38="適用","-","")</f>
        <v>-</v>
      </c>
    </row>
    <row r="28" spans="1:8" s="142" customFormat="1" ht="79.5" customHeight="1">
      <c r="A28" s="231"/>
      <c r="B28" s="234"/>
      <c r="C28" s="109"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8" s="242"/>
      <c r="E28" s="232"/>
      <c r="F28" s="257"/>
      <c r="G28" s="111" t="str">
        <f>IF('入力シート'!$C$38="適用","②評価項目「配置予定現場代理人の横浜市優良工事表彰現場責任者表彰の実績」については、若手技術者が配置予定現場代理人と兼務の場合は専任指導技術者の所有する実績等でも評価できるものとします。（※9)","")</f>
        <v>②評価項目「配置予定現場代理人の横浜市優良工事表彰現場責任者表彰の実績」については、若手技術者が配置予定現場代理人と兼務の場合は専任指導技術者の所有する実績等でも評価できるものとします。（※9)</v>
      </c>
      <c r="H28" s="282"/>
    </row>
    <row r="29" spans="1:8" ht="13.5">
      <c r="A29" s="231"/>
      <c r="B29" s="248" t="s">
        <v>52</v>
      </c>
      <c r="C29" s="248" t="str">
        <f>IF('入力シート'!C39="適用","品質管理マネジメントシステム(ISO9001)の取得の有無","今回工事ではこの項目を適用しません。")</f>
        <v>今回工事ではこの項目を適用しません。</v>
      </c>
      <c r="D29" s="235" t="str">
        <f>IF('入力シート'!C39="適用","１号","不要")</f>
        <v>不要</v>
      </c>
      <c r="E29" s="230" t="str">
        <f>IF('入力シート'!C39="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9" s="237">
        <f>IF('入力シート'!C39="適用","登録証の写し及び登録範囲が証明できる付属書等の写し","")</f>
      </c>
      <c r="G29" s="149">
        <f>IF('入力シート'!$C$39="適用","ISO9001を横浜市内の事業所を含む範囲で登録している。","")</f>
      </c>
      <c r="H29" s="152">
        <f>IF('入力シート'!$C$39="適用",2,"")</f>
      </c>
    </row>
    <row r="30" spans="1:8" ht="24.75" customHeight="1">
      <c r="A30" s="231"/>
      <c r="B30" s="249"/>
      <c r="C30" s="249"/>
      <c r="D30" s="236"/>
      <c r="E30" s="232"/>
      <c r="F30" s="238"/>
      <c r="G30" s="150">
        <f>IF('入力シート'!$C$39="適用","登録していない。","")</f>
      </c>
      <c r="H30" s="153">
        <f>IF('入力シート'!$C$39="適用",0,"")</f>
      </c>
    </row>
    <row r="31" spans="1:8" ht="13.5">
      <c r="A31" s="231"/>
      <c r="B31" s="233" t="s">
        <v>242</v>
      </c>
      <c r="C31" s="233" t="str">
        <f>IF('入力シート'!C48="適用","個別に設定","今回工事ではこの項目を適用しません。")</f>
        <v>今回工事ではこの項目を適用しません。</v>
      </c>
      <c r="D31" s="235"/>
      <c r="E31" s="286"/>
      <c r="F31" s="258"/>
      <c r="G31" s="149"/>
      <c r="H31" s="152">
        <f>IF('入力シート'!$C$48="適用",1,"")</f>
      </c>
    </row>
    <row r="32" spans="1:8" ht="21.75" customHeight="1">
      <c r="A32" s="232"/>
      <c r="B32" s="234"/>
      <c r="C32" s="234"/>
      <c r="D32" s="236"/>
      <c r="E32" s="287"/>
      <c r="F32" s="259"/>
      <c r="G32" s="150"/>
      <c r="H32" s="153">
        <f>IF('入力シート'!$C$48="適用",0,"")</f>
      </c>
    </row>
    <row r="33" spans="1:8" ht="13.5">
      <c r="A33" s="230" t="s">
        <v>115</v>
      </c>
      <c r="B33" s="248" t="s">
        <v>257</v>
      </c>
      <c r="C33" s="108" t="str">
        <f>IF('入力シート'!C40="適用","建設業の許可における主たる営業所の所在地と工事施工場所の位置関係","今回工事ではこの項目を適用しません。")</f>
        <v>今回工事ではこの項目を適用しません。</v>
      </c>
      <c r="D33" s="235" t="str">
        <f>IF('入力シート'!C40="適用","１号","不要")</f>
        <v>不要</v>
      </c>
      <c r="E33" s="23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37">
        <f>IF('入力シート'!C40="適用","主たる営業所の所在地を証明する書類（建設業の許可通知書の写し等）","")</f>
      </c>
      <c r="G33" s="149">
        <f>IF('入力シート'!$C$40="適用","工事施工場所と同一行政区内に建設業の許可における主たる営業所がある。","")</f>
      </c>
      <c r="H33" s="152">
        <f>IF('入力シート'!$C$40="適用",IF('入力シート'!$C$41="適用",4,2),"")</f>
      </c>
    </row>
    <row r="34" spans="1:8" ht="13.5">
      <c r="A34" s="231"/>
      <c r="B34" s="249"/>
      <c r="C34" s="110">
        <f>IF('入力シート'!C40="適用","本項目における工事施工場所："&amp;'入力シート'!E40,"")</f>
      </c>
      <c r="D34" s="236"/>
      <c r="E34" s="232"/>
      <c r="F34" s="238"/>
      <c r="G34" s="150">
        <f>IF('入力シート'!$C$40="適用","上記以外","")</f>
      </c>
      <c r="H34" s="153">
        <f>IF('入力シート'!$C$40="適用",0,"")</f>
      </c>
    </row>
    <row r="35" spans="1:8" ht="38.25" customHeight="1">
      <c r="A35" s="231"/>
      <c r="B35" s="248" t="s">
        <v>250</v>
      </c>
      <c r="C35" s="248" t="str">
        <f>IF('入力シート'!C42="適用","横浜市災害協力事業者名簿登載の有無","今回工事ではこの項目を適用しません。")</f>
        <v>横浜市災害協力事業者名簿登載の有無</v>
      </c>
      <c r="D35" s="235" t="str">
        <f>IF('入力シート'!C42="適用","１号","不要")</f>
        <v>１号</v>
      </c>
      <c r="E35" s="230" t="str">
        <f>IF('入力シート'!C42="適用","平成26年度横浜市災害協力事業者名簿の登載の有無を記入してください。","今回工事ではこの項目を適用しません。")</f>
        <v>平成26年度横浜市災害協力事業者名簿の登載の有無を記入してください。</v>
      </c>
      <c r="F35" s="258" t="str">
        <f>IF('入力シート'!C42="適用","不要","")</f>
        <v>不要</v>
      </c>
      <c r="G35" s="149" t="str">
        <f>IF('入力シート'!$C$42="適用","平成26年度横浜市災害協力事業者名簿に登載がある。","")</f>
        <v>平成26年度横浜市災害協力事業者名簿に登載がある。</v>
      </c>
      <c r="H35" s="152">
        <f>IF('入力シート'!$C$42="適用",2,"")</f>
        <v>2</v>
      </c>
    </row>
    <row r="36" spans="1:8" ht="38.25" customHeight="1">
      <c r="A36" s="231"/>
      <c r="B36" s="249"/>
      <c r="C36" s="249"/>
      <c r="D36" s="236"/>
      <c r="E36" s="232"/>
      <c r="F36" s="259"/>
      <c r="G36" s="150" t="str">
        <f>IF('入力シート'!$C$42="適用","平成26年度横浜市災害協力事業者名簿に登載がない。","")</f>
        <v>平成26年度横浜市災害協力事業者名簿に登載がない。</v>
      </c>
      <c r="H36" s="153">
        <f>IF('入力シート'!$C$42="適用",0,"")</f>
        <v>0</v>
      </c>
    </row>
    <row r="37" spans="1:8" ht="38.25" customHeight="1">
      <c r="A37" s="231"/>
      <c r="B37" s="248" t="s">
        <v>251</v>
      </c>
      <c r="C37" s="248" t="str">
        <f>IF('入力シート'!C43="適用","環境マネジメントシステム(ISO14001)の取得の有無","今回工事ではこの項目を適用しません。")</f>
        <v>環境マネジメントシステム(ISO14001)の取得の有無</v>
      </c>
      <c r="D37" s="235" t="str">
        <f>IF('入力シート'!C43="適用","１号","不要")</f>
        <v>１号</v>
      </c>
      <c r="E37" s="230" t="str">
        <f>IF('入力シート'!C43="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評価の基準日（入札期間の最終日）時点で有効なISO14001を横浜市内の事業所を含む範囲で登録している場合に記入してください。またその内容を証明するために右記資料を添付してください。</v>
      </c>
      <c r="F37" s="237" t="str">
        <f>IF('入力シート'!C43="適用","登録証の写し及び登録範囲が証明できる付属書等の写し","")</f>
        <v>登録証の写し及び登録範囲が証明できる付属書等の写し</v>
      </c>
      <c r="G37" s="149" t="str">
        <f>IF('入力シート'!$C$43="適用","ISO14001を横浜市内の事業所を含む範囲で登録している。","")</f>
        <v>ISO14001を横浜市内の事業所を含む範囲で登録している。</v>
      </c>
      <c r="H37" s="152">
        <f>IF('入力シート'!$C$43="適用",2,"")</f>
        <v>2</v>
      </c>
    </row>
    <row r="38" spans="1:8" ht="24.75" customHeight="1">
      <c r="A38" s="231"/>
      <c r="B38" s="249"/>
      <c r="C38" s="249"/>
      <c r="D38" s="236"/>
      <c r="E38" s="232"/>
      <c r="F38" s="238"/>
      <c r="G38" s="150" t="str">
        <f>IF('入力シート'!$C$43="適用","登録していない。","")</f>
        <v>登録していない。</v>
      </c>
      <c r="H38" s="153">
        <f>IF('入力シート'!$C$43="適用",0,"")</f>
        <v>0</v>
      </c>
    </row>
    <row r="39" spans="1:8" s="142" customFormat="1" ht="12.75">
      <c r="A39" s="231"/>
      <c r="B39" s="233" t="s">
        <v>246</v>
      </c>
      <c r="C39" s="108" t="str">
        <f>IF('入力シート'!C44="適用","本工事における市内中小企業の活用状況（※7）","今回工事ではこの項目を適用しません。")</f>
        <v>今回工事ではこの項目を適用しません。</v>
      </c>
      <c r="D39" s="240" t="str">
        <f>IF('入力シート'!C44="適用","１号","不要")</f>
        <v>不要</v>
      </c>
      <c r="E39" s="230" t="str">
        <f>IF('入力シート'!C44="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37">
        <f>IF('入力シート'!C44="適用","技術資料提出時には不要（工事完成時に発注割合を確認します）。（※7）","")</f>
      </c>
      <c r="G39" s="149">
        <f>IF('入力シート'!$C$44="適用","市内中小企業の活用目標値が"&amp;'入力シート'!$E$44&amp;"％以上である。","")</f>
      </c>
      <c r="H39" s="152">
        <f>IF('入力シート'!$C$44="適用",4,"")</f>
      </c>
    </row>
    <row r="40" spans="1:8" s="142" customFormat="1" ht="12.75">
      <c r="A40" s="231"/>
      <c r="B40" s="239"/>
      <c r="C40" s="23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41"/>
      <c r="E40" s="231"/>
      <c r="F40" s="275"/>
      <c r="G40" s="147">
        <f>IF('入力シート'!$C$44="適用","市内中小企業の活用目標値が"&amp;'入力シート'!$E$45&amp;"％以上"&amp;'入力シート'!$E$44&amp;"％未満である。","")</f>
      </c>
      <c r="H40" s="151">
        <f>IF('入力シート'!$C$44="適用",2,"")</f>
      </c>
    </row>
    <row r="41" spans="1:8" s="142" customFormat="1" ht="12.75">
      <c r="A41" s="231"/>
      <c r="B41" s="234"/>
      <c r="C41" s="234"/>
      <c r="D41" s="242"/>
      <c r="E41" s="111">
        <f>IF('入力シート'!C44="適用","市内中小企業の活用目標値＝［市内中小企業への一次下請金額］÷［一次下請全体額］…小数点以下切捨て","")</f>
      </c>
      <c r="F41" s="238"/>
      <c r="G41" s="150">
        <f>IF('入力シート'!$C$44="適用","市内中小企業の活用目標値が"&amp;'入力シート'!$E$45&amp;"％未満である。又は無記入である。","")</f>
      </c>
      <c r="H41" s="153">
        <f>IF('入力シート'!$C$44="適用",0,"")</f>
      </c>
    </row>
    <row r="42" spans="1:8" s="142" customFormat="1" ht="37.5" customHeight="1">
      <c r="A42" s="231"/>
      <c r="B42" s="233" t="s">
        <v>258</v>
      </c>
      <c r="C42" s="248" t="str">
        <f>IF('入力シート'!C46="適用","横浜型地域貢献企業の認定状況","今回工事ではこの項目を適用しません。")</f>
        <v>横浜型地域貢献企業の認定状況</v>
      </c>
      <c r="D42" s="240" t="str">
        <f>IF('入力シート'!C46="適用","１号","不要")</f>
        <v>１号</v>
      </c>
      <c r="E42" s="230" t="str">
        <f>IF('入力シート'!C46="適用","(公財)横浜企業経営支援財団の横浜型地域貢献企業の認定の有無を記入して下さい。","今回工事ではこの項目を適用しません。")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55"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IF('入力シート'!$C$46="適用","横浜型地域貢献企業に認定されている。","")</f>
        <v>横浜型地域貢献企業に認定されている。</v>
      </c>
      <c r="H42" s="152">
        <f>IF('入力シート'!$C$46="適用",1,"")</f>
        <v>1</v>
      </c>
    </row>
    <row r="43" spans="1:8" s="142" customFormat="1" ht="26.25" customHeight="1">
      <c r="A43" s="231"/>
      <c r="B43" s="234"/>
      <c r="C43" s="249"/>
      <c r="D43" s="242"/>
      <c r="E43" s="232"/>
      <c r="F43" s="257"/>
      <c r="G43" s="150" t="str">
        <f>IF('入力シート'!$C$46="適用","認定されていない。","")</f>
        <v>認定されていない。</v>
      </c>
      <c r="H43" s="153">
        <f>IF('入力シート'!$C$46="適用",0,"")</f>
        <v>0</v>
      </c>
    </row>
    <row r="44" spans="1:8" s="142" customFormat="1" ht="28.5" customHeight="1">
      <c r="A44" s="231"/>
      <c r="B44" s="233" t="s">
        <v>245</v>
      </c>
      <c r="C44" s="108" t="str">
        <f>IF('入力シート'!C47="適用","建設機械の保有状況","今回工事ではこの項目を適用しません。")</f>
        <v>今回工事ではこの項目を適用しません。</v>
      </c>
      <c r="D44" s="240" t="str">
        <f>IF('入力シート'!C47="適用","１号","不要")</f>
        <v>不要</v>
      </c>
      <c r="E44" s="230" t="str">
        <f>IF('入力シート'!C47="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44" s="255">
        <f>IF('入力シート'!C47="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c>
      <c r="G44" s="149">
        <f>IF('入力シート'!$C$47="適用","所有している又は長期（1年以上）の賃貸借契約中である。","")</f>
      </c>
      <c r="H44" s="152">
        <f>IF('入力シート'!$C$47="適用",1,"")</f>
      </c>
    </row>
    <row r="45" spans="1:8" s="142" customFormat="1" ht="12.75">
      <c r="A45" s="231"/>
      <c r="B45" s="234"/>
      <c r="C45" s="109">
        <f>IF('入力シート'!C47="適用","評価対象とする建設機械：ブルドーザー、ドーザーショベル、掘削機、モーターグレーダー、トラッククレーン、クローラークレーン、油圧式クレーン、クレーン付きトラック、タイヤショベル又は振動ローラ","")</f>
      </c>
      <c r="D45" s="242"/>
      <c r="E45" s="232"/>
      <c r="F45" s="257"/>
      <c r="G45" s="150">
        <f>IF('入力シート'!$C$47="適用","上記以外","")</f>
      </c>
      <c r="H45" s="153">
        <f>IF('入力シート'!$C$47="適用",0,"")</f>
      </c>
    </row>
    <row r="46" spans="1:8" s="142" customFormat="1" ht="17.25" customHeight="1">
      <c r="A46" s="231"/>
      <c r="B46" s="233" t="s">
        <v>243</v>
      </c>
      <c r="C46" s="233" t="str">
        <f>IF('入力シート'!C49="適用","個別に設定","今回工事ではこの項目を適用しません。")</f>
        <v>今回工事ではこの項目を適用しません。</v>
      </c>
      <c r="D46" s="240"/>
      <c r="E46" s="266"/>
      <c r="F46" s="268"/>
      <c r="G46" s="154"/>
      <c r="H46" s="152">
        <f>IF('入力シート'!$C$49="適用",1,"")</f>
      </c>
    </row>
    <row r="47" spans="1:8" s="142" customFormat="1" ht="17.25" customHeight="1">
      <c r="A47" s="232"/>
      <c r="B47" s="234"/>
      <c r="C47" s="234"/>
      <c r="D47" s="242"/>
      <c r="E47" s="267"/>
      <c r="F47" s="269"/>
      <c r="G47" s="148"/>
      <c r="H47" s="153">
        <f>IF('入力シート'!$C$49="適用",0,"")</f>
      </c>
    </row>
    <row r="48" spans="1:8" s="142" customFormat="1" ht="19.5" customHeight="1">
      <c r="A48" s="244" t="s">
        <v>260</v>
      </c>
      <c r="B48" s="245"/>
      <c r="C48" s="233" t="str">
        <f>IF('入力シート'!C50="適用","本工事における低入札価格での入札状況","今回工事ではこの項目を適用しません。")</f>
        <v>今回工事ではこの項目を適用しません。</v>
      </c>
      <c r="D48" s="250"/>
      <c r="E48" s="252"/>
      <c r="F48" s="288"/>
      <c r="G48" s="149">
        <f>IF('入力シート'!$C$50="適用","入札価格が調査基準価格を下回る。","")</f>
      </c>
      <c r="H48" s="152">
        <f>IF('入力シート'!$C$50="適用",-5,"")</f>
      </c>
    </row>
    <row r="49" spans="1:8" s="142" customFormat="1" ht="17.25" customHeight="1">
      <c r="A49" s="246"/>
      <c r="B49" s="247"/>
      <c r="C49" s="234"/>
      <c r="D49" s="251"/>
      <c r="E49" s="253"/>
      <c r="F49" s="289"/>
      <c r="G49" s="150">
        <f>IF('入力シート'!$C$50="適用","下回らない。","")</f>
      </c>
      <c r="H49" s="153">
        <f>IF('入力シート'!$C$50="適用",0,"")</f>
      </c>
    </row>
    <row r="50" spans="1:8" ht="13.5">
      <c r="A50" s="285" t="s">
        <v>53</v>
      </c>
      <c r="B50" s="285"/>
      <c r="C50" s="285"/>
      <c r="D50" s="285"/>
      <c r="E50" s="285"/>
      <c r="F50" s="285"/>
      <c r="G50" s="285"/>
      <c r="H50" s="8">
        <f>SUM(H5,H9,H12,H15,H20,H22,H25,H29,H33,H31,H35,H37,H39,H42,H44,H46)</f>
        <v>18</v>
      </c>
    </row>
    <row r="51" ht="4.5" customHeight="1"/>
    <row r="52" spans="1:8" s="144" customFormat="1" ht="18.75" customHeight="1">
      <c r="A52" s="143" t="s">
        <v>227</v>
      </c>
      <c r="B52" s="243" t="s">
        <v>228</v>
      </c>
      <c r="C52" s="243"/>
      <c r="D52" s="243"/>
      <c r="E52" s="243"/>
      <c r="F52" s="243"/>
      <c r="G52" s="243"/>
      <c r="H52" s="243"/>
    </row>
    <row r="53" spans="1:8" s="144" customFormat="1" ht="18.75" customHeight="1">
      <c r="A53" s="143" t="s">
        <v>151</v>
      </c>
      <c r="B53" s="254" t="s">
        <v>229</v>
      </c>
      <c r="C53" s="254"/>
      <c r="D53" s="254"/>
      <c r="E53" s="254"/>
      <c r="F53" s="254"/>
      <c r="G53" s="254"/>
      <c r="H53" s="254"/>
    </row>
    <row r="54" spans="1:8" s="144" customFormat="1" ht="18.75" customHeight="1">
      <c r="A54" s="143" t="s">
        <v>230</v>
      </c>
      <c r="B54" s="254" t="s">
        <v>231</v>
      </c>
      <c r="C54" s="254"/>
      <c r="D54" s="254"/>
      <c r="E54" s="254"/>
      <c r="F54" s="254"/>
      <c r="G54" s="254"/>
      <c r="H54" s="254"/>
    </row>
    <row r="55" spans="1:8" s="144" customFormat="1" ht="18.75" customHeight="1">
      <c r="A55" s="143" t="s">
        <v>232</v>
      </c>
      <c r="B55" s="243" t="s">
        <v>233</v>
      </c>
      <c r="C55" s="254"/>
      <c r="D55" s="254"/>
      <c r="E55" s="254"/>
      <c r="F55" s="254"/>
      <c r="G55" s="254"/>
      <c r="H55" s="254"/>
    </row>
    <row r="56" spans="1:8" s="144" customFormat="1" ht="18.75" customHeight="1">
      <c r="A56" s="143"/>
      <c r="B56" s="254"/>
      <c r="C56" s="254"/>
      <c r="D56" s="254"/>
      <c r="E56" s="254"/>
      <c r="F56" s="254"/>
      <c r="G56" s="254"/>
      <c r="H56" s="254"/>
    </row>
    <row r="57" spans="1:8" s="144" customFormat="1" ht="9.75" customHeight="1">
      <c r="A57" s="143"/>
      <c r="B57" s="254"/>
      <c r="C57" s="254"/>
      <c r="D57" s="254"/>
      <c r="E57" s="254"/>
      <c r="F57" s="254"/>
      <c r="G57" s="254"/>
      <c r="H57" s="254"/>
    </row>
    <row r="58" spans="1:8" s="144" customFormat="1" ht="18.75" customHeight="1">
      <c r="A58" s="143" t="s">
        <v>234</v>
      </c>
      <c r="B58" s="243" t="s">
        <v>235</v>
      </c>
      <c r="C58" s="243"/>
      <c r="D58" s="243"/>
      <c r="E58" s="243"/>
      <c r="F58" s="243"/>
      <c r="G58" s="243"/>
      <c r="H58" s="243"/>
    </row>
    <row r="59" spans="1:8" s="144" customFormat="1" ht="18.75" customHeight="1">
      <c r="A59" s="143" t="s">
        <v>236</v>
      </c>
      <c r="B59" s="243" t="s">
        <v>237</v>
      </c>
      <c r="C59" s="243"/>
      <c r="D59" s="243"/>
      <c r="E59" s="243"/>
      <c r="F59" s="243"/>
      <c r="G59" s="243"/>
      <c r="H59" s="243"/>
    </row>
    <row r="60" spans="1:8" s="142" customFormat="1" ht="18.75" customHeight="1">
      <c r="A60" s="143" t="s">
        <v>238</v>
      </c>
      <c r="B60" s="243" t="s">
        <v>270</v>
      </c>
      <c r="C60" s="254"/>
      <c r="D60" s="254"/>
      <c r="E60" s="254"/>
      <c r="F60" s="254"/>
      <c r="G60" s="254"/>
      <c r="H60" s="254"/>
    </row>
    <row r="61" spans="1:8" s="142" customFormat="1" ht="18.75" customHeight="1">
      <c r="A61" s="143"/>
      <c r="B61" s="254"/>
      <c r="C61" s="254"/>
      <c r="D61" s="254"/>
      <c r="E61" s="254"/>
      <c r="F61" s="254"/>
      <c r="G61" s="254"/>
      <c r="H61" s="254"/>
    </row>
    <row r="62" spans="1:8" s="142" customFormat="1" ht="18.75" customHeight="1">
      <c r="A62" s="143" t="s">
        <v>262</v>
      </c>
      <c r="B62" s="243" t="s">
        <v>271</v>
      </c>
      <c r="C62" s="243"/>
      <c r="D62" s="243"/>
      <c r="E62" s="243"/>
      <c r="F62" s="243"/>
      <c r="G62" s="243"/>
      <c r="H62" s="243"/>
    </row>
    <row r="63" spans="1:8" s="142" customFormat="1" ht="18.75" customHeight="1">
      <c r="A63" s="143"/>
      <c r="B63" s="243"/>
      <c r="C63" s="243"/>
      <c r="D63" s="243"/>
      <c r="E63" s="243"/>
      <c r="F63" s="243"/>
      <c r="G63" s="243"/>
      <c r="H63" s="243"/>
    </row>
    <row r="64" spans="1:8" s="142" customFormat="1" ht="18.75" customHeight="1">
      <c r="A64" s="143"/>
      <c r="B64" s="243"/>
      <c r="C64" s="243"/>
      <c r="D64" s="243"/>
      <c r="E64" s="243"/>
      <c r="F64" s="243"/>
      <c r="G64" s="243"/>
      <c r="H64" s="243"/>
    </row>
    <row r="65" spans="1:8" s="142" customFormat="1" ht="18.75" customHeight="1">
      <c r="A65" s="143" t="s">
        <v>264</v>
      </c>
      <c r="B65" s="243" t="s">
        <v>284</v>
      </c>
      <c r="C65" s="243"/>
      <c r="D65" s="243"/>
      <c r="E65" s="243"/>
      <c r="F65" s="243"/>
      <c r="G65" s="243"/>
      <c r="H65" s="243"/>
    </row>
    <row r="66" spans="1:8" ht="7.5" customHeight="1">
      <c r="A66" s="283"/>
      <c r="B66" s="284"/>
      <c r="C66" s="284"/>
      <c r="D66" s="284"/>
      <c r="E66" s="284"/>
      <c r="F66" s="284"/>
      <c r="G66" s="284"/>
      <c r="H66" s="284"/>
    </row>
  </sheetData>
  <sheetProtection password="E7B6" sheet="1" formatCells="0" formatRows="0" insertRows="0"/>
  <mergeCells count="107">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B22:B24"/>
    <mergeCell ref="G18:G19"/>
    <mergeCell ref="H18:H19"/>
    <mergeCell ref="G15:G16"/>
    <mergeCell ref="D15:D19"/>
    <mergeCell ref="E15:E19"/>
    <mergeCell ref="C15:C16"/>
    <mergeCell ref="C17:C19"/>
    <mergeCell ref="E12:E14"/>
    <mergeCell ref="F12:F14"/>
    <mergeCell ref="G23:G24"/>
    <mergeCell ref="B31:B32"/>
    <mergeCell ref="C20:C21"/>
    <mergeCell ref="D20:D21"/>
    <mergeCell ref="E20:E21"/>
    <mergeCell ref="E22:E24"/>
    <mergeCell ref="B20:B21"/>
    <mergeCell ref="C23:C24"/>
    <mergeCell ref="B12:B14"/>
    <mergeCell ref="D12:D14"/>
    <mergeCell ref="G5:G6"/>
    <mergeCell ref="B9:B11"/>
    <mergeCell ref="C6:C8"/>
    <mergeCell ref="F20:F21"/>
    <mergeCell ref="D9:D11"/>
    <mergeCell ref="F16:F19"/>
    <mergeCell ref="B15:B19"/>
    <mergeCell ref="C13:C14"/>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5" right="0.16" top="0.41" bottom="0.34" header="0.27" footer="0.27"/>
  <pageSetup fitToHeight="0" fitToWidth="1" horizontalDpi="600" verticalDpi="600" orientation="landscape" paperSize="9" scale="87" r:id="rId1"/>
  <rowBreaks count="2" manualBreakCount="2">
    <brk id="19" max="7" man="1"/>
    <brk id="32"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340" t="s">
        <v>11</v>
      </c>
      <c r="D6" s="340"/>
      <c r="E6" s="66" t="str">
        <f>'入力シート'!E11</f>
        <v>○○・□□建設共同企業体</v>
      </c>
    </row>
    <row r="7" spans="3:5" s="89" customFormat="1" ht="13.5">
      <c r="C7" s="341" t="s">
        <v>96</v>
      </c>
      <c r="D7" s="341"/>
      <c r="E7" s="71">
        <f>'入力シート'!E12</f>
        <v>56789</v>
      </c>
    </row>
    <row r="8" spans="3:5" ht="18" customHeight="1">
      <c r="C8" s="342" t="s">
        <v>72</v>
      </c>
      <c r="D8" s="69" t="s">
        <v>10</v>
      </c>
      <c r="E8" s="69" t="str">
        <f>'入力シート'!E9</f>
        <v>横浜市○区○○町○丁目○－○</v>
      </c>
    </row>
    <row r="9" spans="3:5" ht="18" customHeight="1">
      <c r="C9" s="342"/>
      <c r="D9" s="69" t="s">
        <v>9</v>
      </c>
      <c r="E9" s="69" t="str">
        <f>'入力シート'!E7</f>
        <v>株式会社○○○○○○</v>
      </c>
    </row>
    <row r="10" spans="3:5" ht="18" customHeight="1">
      <c r="C10" s="342"/>
      <c r="D10" s="69" t="s">
        <v>8</v>
      </c>
      <c r="E10" s="70" t="str">
        <f>'入力シート'!E10</f>
        <v>代表取締役　○○　○○</v>
      </c>
    </row>
    <row r="11" spans="3:5" ht="12">
      <c r="C11" s="342"/>
      <c r="D11" s="69" t="s">
        <v>15</v>
      </c>
      <c r="E11" s="71">
        <f>'入力シート'!E8</f>
        <v>12345</v>
      </c>
    </row>
    <row r="12" ht="9" customHeight="1"/>
    <row r="13" spans="1:5" ht="17.25">
      <c r="A13" s="343" t="s">
        <v>85</v>
      </c>
      <c r="B13" s="343"/>
      <c r="C13" s="343"/>
      <c r="D13" s="343"/>
      <c r="E13" s="343"/>
    </row>
    <row r="14" ht="8.25" customHeight="1"/>
    <row r="15" ht="12">
      <c r="A15" s="66" t="s">
        <v>73</v>
      </c>
    </row>
    <row r="16" spans="1:5" ht="6" customHeight="1">
      <c r="A16" s="72"/>
      <c r="B16" s="69"/>
      <c r="C16" s="69"/>
      <c r="D16" s="69"/>
      <c r="E16" s="69"/>
    </row>
    <row r="17" spans="1:5" ht="12">
      <c r="A17" s="73" t="s">
        <v>2</v>
      </c>
      <c r="B17" s="74" t="str">
        <f>'入力シート'!E19</f>
        <v>南本牧ふ頭第５ブロック廃棄物最終処分場(仮称)建設工事(その４８・しゅんせつ工)</v>
      </c>
      <c r="C17" s="74"/>
      <c r="D17" s="74"/>
      <c r="E17" s="75"/>
    </row>
    <row r="18" spans="1:5" ht="12">
      <c r="A18" s="76"/>
      <c r="B18" s="77"/>
      <c r="C18" s="76"/>
      <c r="D18" s="76"/>
      <c r="E18" s="77"/>
    </row>
    <row r="19" spans="1:5" ht="17.25" customHeight="1">
      <c r="A19" s="78" t="s">
        <v>0</v>
      </c>
      <c r="B19" s="344" t="s">
        <v>74</v>
      </c>
      <c r="C19" s="344"/>
      <c r="D19" s="344"/>
      <c r="E19" s="344"/>
    </row>
    <row r="20" spans="1:5" ht="24.75" customHeight="1">
      <c r="A20" s="312" t="s">
        <v>3</v>
      </c>
      <c r="B20" s="63" t="str">
        <f>IF('入力シート'!$C$32="適用","同種工事","不適用")</f>
        <v>不適用</v>
      </c>
      <c r="C20" s="335">
        <f>IF('入力シート'!$C$32="適用",'入力シート'!E32,"")</f>
      </c>
      <c r="D20" s="336"/>
      <c r="E20" s="337">
        <f>IF('入力シート'!$C$32="適用","同種工事の条件","")</f>
      </c>
    </row>
    <row r="21" spans="1:5" ht="12">
      <c r="A21" s="312"/>
      <c r="B21" s="63">
        <f>IF('入力シート'!$C$32="適用","工事名","")</f>
      </c>
      <c r="C21" s="333"/>
      <c r="D21" s="333"/>
      <c r="E21" s="333"/>
    </row>
    <row r="22" spans="1:5" ht="12">
      <c r="A22" s="312"/>
      <c r="B22" s="63">
        <f>IF('入力シート'!$C$32="適用","契約金額(税込み)","")</f>
      </c>
      <c r="C22" s="333"/>
      <c r="D22" s="333"/>
      <c r="E22" s="333"/>
    </row>
    <row r="23" spans="1:5" ht="28.5" customHeight="1">
      <c r="A23" s="312"/>
      <c r="B23" s="63">
        <f>IF('入力シート'!$C$32="適用","添付資料","")</f>
      </c>
      <c r="C23" s="293">
        <f>IF('入力シート'!$C$32="適用","（添付する資料名を記入して下さい。）","")</f>
      </c>
      <c r="D23" s="294"/>
      <c r="E23" s="295"/>
    </row>
    <row r="24" spans="1:5" ht="12">
      <c r="A24" s="312" t="s">
        <v>90</v>
      </c>
      <c r="B24" s="63" t="str">
        <f>IF('入力シート'!$C$33="適用","同一登録工種","不適用")</f>
        <v>同一登録工種</v>
      </c>
      <c r="C24" s="319" t="str">
        <f>IF('入力シート'!$C$33="適用",'入力シート'!E33,"")</f>
        <v>港湾</v>
      </c>
      <c r="D24" s="320"/>
      <c r="E24" s="321" t="str">
        <f>IF('入力シート'!$C$33="適用","同一登録工種","")</f>
        <v>同一登録工種</v>
      </c>
    </row>
    <row r="25" spans="1:5" ht="24.75" customHeight="1">
      <c r="A25" s="312"/>
      <c r="B25" s="334" t="str">
        <f>IF('入力シート'!$C$33="適用","工事１","")</f>
        <v>工事１</v>
      </c>
      <c r="C25" s="79" t="str">
        <f>IF('入力シート'!$C$33="適用","工事名","")</f>
        <v>工事名</v>
      </c>
      <c r="D25" s="338"/>
      <c r="E25" s="339"/>
    </row>
    <row r="26" spans="1:5" ht="12">
      <c r="A26" s="312"/>
      <c r="B26" s="334" t="str">
        <f>IF('入力シート'!$C$33="適用","同一登録工種","")</f>
        <v>同一登録工種</v>
      </c>
      <c r="C26" s="63" t="str">
        <f>IF('入力シート'!$C$33="適用","工事成績評定点","")</f>
        <v>工事成績評定点</v>
      </c>
      <c r="D26" s="323"/>
      <c r="E26" s="325"/>
    </row>
    <row r="27" spans="1:5" ht="24.75" customHeight="1">
      <c r="A27" s="312"/>
      <c r="B27" s="334" t="str">
        <f>IF('入力シート'!$C$33="適用","工事２","")</f>
        <v>工事２</v>
      </c>
      <c r="C27" s="79" t="str">
        <f>IF('入力シート'!$C$33="適用","工事名","")</f>
        <v>工事名</v>
      </c>
      <c r="D27" s="338"/>
      <c r="E27" s="339"/>
    </row>
    <row r="28" spans="1:5" ht="12">
      <c r="A28" s="312"/>
      <c r="B28" s="334" t="str">
        <f>IF('入力シート'!$C$33="適用","同一登録工種","")</f>
        <v>同一登録工種</v>
      </c>
      <c r="C28" s="63" t="str">
        <f>IF('入力シート'!$C$33="適用","工事成績評定点","")</f>
        <v>工事成績評定点</v>
      </c>
      <c r="D28" s="323"/>
      <c r="E28" s="325"/>
    </row>
    <row r="29" spans="1:5" ht="12">
      <c r="A29" s="312"/>
      <c r="B29" s="63" t="str">
        <f>IF('入力シート'!$C$33="適用","添付資料","")</f>
        <v>添付資料</v>
      </c>
      <c r="C29" s="330" t="str">
        <f>IF('入力シート'!$C$33="適用","工事完成検査結果通知書の写し","")</f>
        <v>工事完成検査結果通知書の写し</v>
      </c>
      <c r="D29" s="331"/>
      <c r="E29" s="332" t="str">
        <f>IF('入力シート'!$C$33="適用","同一登録工種","")</f>
        <v>同一登録工種</v>
      </c>
    </row>
    <row r="30" spans="1:5" ht="12" customHeight="1">
      <c r="A30" s="301" t="s">
        <v>120</v>
      </c>
      <c r="B30" s="63" t="str">
        <f>IF('入力シート'!$C$34="適用","部門","不適用")</f>
        <v>部門</v>
      </c>
      <c r="C30" s="330" t="str">
        <f>IF('入力シート'!$C$34="適用",'入力シート'!E34,"")</f>
        <v>土木（土木・造園）</v>
      </c>
      <c r="D30" s="331"/>
      <c r="E30" s="332" t="str">
        <f>IF('入力シート'!$C$33="適用","同一登録工種","")</f>
        <v>同一登録工種</v>
      </c>
    </row>
    <row r="31" spans="1:5" ht="12" customHeight="1">
      <c r="A31" s="302"/>
      <c r="B31" s="334" t="str">
        <f>IF('入力シート'!$C$34="適用","表彰年度","")</f>
        <v>表彰年度</v>
      </c>
      <c r="C31" s="63" t="str">
        <f>IF('入力シート'!$C$34="適用","表彰１","")</f>
        <v>表彰１</v>
      </c>
      <c r="D31" s="323"/>
      <c r="E31" s="325"/>
    </row>
    <row r="32" spans="1:5" ht="12" customHeight="1">
      <c r="A32" s="303"/>
      <c r="B32" s="334" t="str">
        <f>IF('入力シート'!$C$34="適用","部門","")</f>
        <v>部門</v>
      </c>
      <c r="C32" s="63" t="str">
        <f>IF('入力シート'!$C$34="適用","表彰２","")</f>
        <v>表彰２</v>
      </c>
      <c r="D32" s="323"/>
      <c r="E32" s="325"/>
    </row>
    <row r="33" spans="1:5" ht="24.75" customHeight="1">
      <c r="A33" s="312" t="s">
        <v>91</v>
      </c>
      <c r="B33" s="63" t="str">
        <f>IF('入力シート'!$C$35="適用","同種工事","不適用")</f>
        <v>同種工事</v>
      </c>
      <c r="C33" s="335" t="str">
        <f>IF('入力シート'!$C$35="適用",'入力シート'!E35,"")</f>
        <v>グラブ浚渫船を使用したしゅんせつ工事</v>
      </c>
      <c r="D33" s="336"/>
      <c r="E33" s="337" t="str">
        <f>IF('入力シート'!$C$33="適用","同一登録工種","")</f>
        <v>同一登録工種</v>
      </c>
    </row>
    <row r="34" spans="1:5" ht="12">
      <c r="A34" s="312"/>
      <c r="B34" s="63" t="str">
        <f>IF('入力シート'!$C$35="適用","工事名","")</f>
        <v>工事名</v>
      </c>
      <c r="C34" s="333"/>
      <c r="D34" s="333"/>
      <c r="E34" s="333"/>
    </row>
    <row r="35" spans="1:5" ht="12">
      <c r="A35" s="312"/>
      <c r="B35" s="64" t="str">
        <f>IF('入力シート'!$C$35="適用","契約金額(税込み)","")</f>
        <v>契約金額(税込み)</v>
      </c>
      <c r="C35" s="333"/>
      <c r="D35" s="333"/>
      <c r="E35" s="333"/>
    </row>
    <row r="36" spans="1:5" ht="12">
      <c r="A36" s="312"/>
      <c r="B36" s="63" t="str">
        <f>IF('入力シート'!$C$35="適用","技術者氏名","")</f>
        <v>技術者氏名</v>
      </c>
      <c r="C36" s="333" t="str">
        <f>IF(AND('入力シート'!$C$35="適用",'入力シート'!$C$38="適用"),"[もしくは若手技術者の専任指導技術者氏名]","")</f>
        <v>[もしくは若手技術者の専任指導技術者氏名]</v>
      </c>
      <c r="D36" s="333"/>
      <c r="E36" s="333"/>
    </row>
    <row r="37" spans="1:5" ht="36" customHeight="1">
      <c r="A37" s="312"/>
      <c r="B37" s="63" t="str">
        <f>IF('入力シート'!$C$35="適用","添付資料","")</f>
        <v>添付資料</v>
      </c>
      <c r="C37" s="293" t="str">
        <f>IF('入力シート'!$C$35="適用","（添付する資料名を記入して下さい。）","")</f>
        <v>（添付する資料名を記入して下さい。）</v>
      </c>
      <c r="D37" s="294"/>
      <c r="E37" s="295"/>
    </row>
    <row r="38" spans="1:5" ht="12">
      <c r="A38" s="312" t="s">
        <v>92</v>
      </c>
      <c r="B38" s="63" t="str">
        <f>IF('入力シート'!$C$36="適用","技術者氏名","不適用")</f>
        <v>不適用</v>
      </c>
      <c r="C38" s="326">
        <f>IF(AND('入力シート'!$C$36="適用",'入力シート'!$C$38="適用"),"[もしくは若手技術者の専任指導技術者氏名]","")</f>
      </c>
      <c r="D38" s="327"/>
      <c r="E38" s="328"/>
    </row>
    <row r="39" spans="1:5" ht="12">
      <c r="A39" s="312"/>
      <c r="B39" s="65">
        <f>IF('入力シート'!$C$36="適用","監理技術者番号","")</f>
      </c>
      <c r="C39" s="329"/>
      <c r="D39" s="329"/>
      <c r="E39" s="329"/>
    </row>
    <row r="40" spans="1:5" ht="12">
      <c r="A40" s="312"/>
      <c r="B40" s="63">
        <f>IF('入力シート'!$C$36="適用","添付資料","")</f>
      </c>
      <c r="C40" s="330">
        <f>IF('入力シート'!$C$36="適用","監理技術者証及び監理技術者講習修了証の写し","")</f>
      </c>
      <c r="D40" s="331"/>
      <c r="E40" s="332">
        <f>IF('入力シート'!$C$36="適用","技術者氏名","")</f>
      </c>
    </row>
    <row r="41" spans="1:5" ht="18" customHeight="1">
      <c r="A41" s="312" t="s">
        <v>121</v>
      </c>
      <c r="B41" s="63" t="str">
        <f>IF('入力シート'!$C$37="適用","部門","不適用")</f>
        <v>不適用</v>
      </c>
      <c r="C41" s="330">
        <f>IF('入力シート'!$C$37="適用",'入力シート'!E37,"")</f>
      </c>
      <c r="D41" s="331"/>
      <c r="E41" s="332" t="str">
        <f>IF('入力シート'!$C$33="適用","同一登録工種","")</f>
        <v>同一登録工種</v>
      </c>
    </row>
    <row r="42" spans="1:5" ht="18" customHeight="1">
      <c r="A42" s="312"/>
      <c r="B42" s="63">
        <f>IF('入力シート'!$C$37="適用","代理人氏名","")</f>
      </c>
      <c r="C42" s="333">
        <f>IF(AND('入力シート'!$C$37="適用",'入力シート'!$C$38="適用"),"[もしくは若手技術者の専任指導技術者氏名]","")</f>
      </c>
      <c r="D42" s="333"/>
      <c r="E42" s="333"/>
    </row>
    <row r="43" spans="1:5" ht="18" customHeight="1">
      <c r="A43" s="312"/>
      <c r="B43" s="63">
        <f>IF('入力シート'!$C$37="適用","表彰年度","")</f>
      </c>
      <c r="C43" s="333"/>
      <c r="D43" s="333"/>
      <c r="E43" s="333"/>
    </row>
    <row r="44" spans="1:5" ht="26.25" customHeight="1">
      <c r="A44" s="290" t="s">
        <v>248</v>
      </c>
      <c r="B44" s="112" t="str">
        <f>IF('入力シート'!$C$38="適用","若手技術者氏名","不適用")</f>
        <v>若手技術者氏名</v>
      </c>
      <c r="C44" s="293" t="str">
        <f>IF('入力シート'!$C$38="適用","（若手技術者を配置予定技術者とする場合、若手技術者の氏名を記入してください。）","")</f>
        <v>（若手技術者を配置予定技術者とする場合、若手技術者の氏名を記入してください。）</v>
      </c>
      <c r="D44" s="294"/>
      <c r="E44" s="295"/>
    </row>
    <row r="45" spans="1:5" ht="26.25" customHeight="1">
      <c r="A45" s="291"/>
      <c r="B45" s="62" t="str">
        <f>IF('入力シート'!$C$38="適用","添付書類","")</f>
        <v>添付書類</v>
      </c>
      <c r="C45" s="345" t="str">
        <f>IF('入力シート'!$C$38="適用","（年齢証明として添付する書類名を記入してください。）","")</f>
        <v>（年齢証明として添付する書類名を記入してください。）</v>
      </c>
      <c r="D45" s="346"/>
      <c r="E45" s="347"/>
    </row>
    <row r="46" spans="1:5" ht="30.75" customHeight="1">
      <c r="A46" s="292"/>
      <c r="B46" s="62" t="str">
        <f>IF('入力シート'!$C$38="適用","専任指導技術者氏名","")</f>
        <v>専任指導技術者氏名</v>
      </c>
      <c r="C46" s="293" t="str">
        <f>IF('入力シート'!$C$38="適用","（配置予定技術者が若手技術者で、かつ専任指導技術者を追加配置する場合、専任指導技術者の氏名を記入してください。）","")</f>
        <v>（配置予定技術者が若手技術者で、かつ専任指導技術者を追加配置する場合、専任指導技術者の氏名を記入してください。）</v>
      </c>
      <c r="D46" s="294"/>
      <c r="E46" s="295"/>
    </row>
    <row r="47" spans="1:5" ht="14.25" customHeight="1">
      <c r="A47" s="312" t="s">
        <v>93</v>
      </c>
      <c r="B47" s="301" t="str">
        <f>IF('入力シート'!$C$39="適用","ISO9001の登録","不適用")</f>
        <v>不適用</v>
      </c>
      <c r="C47" s="304"/>
      <c r="D47" s="304"/>
      <c r="E47" s="304"/>
    </row>
    <row r="48" spans="1:5" ht="17.25" customHeight="1">
      <c r="A48" s="312"/>
      <c r="B48" s="303"/>
      <c r="C48" s="313">
        <f>IF('入力シート'!$C$39="適用","（有、無どちらかを記入して下さい。）","")</f>
      </c>
      <c r="D48" s="314"/>
      <c r="E48" s="315"/>
    </row>
    <row r="49" spans="1:5" ht="17.25" customHeight="1">
      <c r="A49" s="312"/>
      <c r="B49" s="62">
        <f>IF('入力シート'!$C$39="適用","添付書類","")</f>
      </c>
      <c r="C49" s="316">
        <f>IF('入力シート'!$C$39="適用","登録証の写し及び登録範囲が確認できる付属書等の写し","")</f>
      </c>
      <c r="D49" s="317"/>
      <c r="E49" s="318"/>
    </row>
    <row r="50" spans="1:5" ht="18" customHeight="1">
      <c r="A50" s="312" t="s">
        <v>252</v>
      </c>
      <c r="B50" s="62" t="str">
        <f>IF('入力シート'!$C$40="適用","工事施工場所","不適用")</f>
        <v>不適用</v>
      </c>
      <c r="C50" s="319">
        <f>IF('入力シート'!$C$40="適用",'入力シート'!E40,"")</f>
      </c>
      <c r="D50" s="320"/>
      <c r="E50" s="321">
        <f>IF('入力シート'!$C$40="適用","工事施工場所","")</f>
      </c>
    </row>
    <row r="51" spans="1:5" ht="18" customHeight="1">
      <c r="A51" s="312"/>
      <c r="B51" s="159">
        <f>IF('入力シート'!$C$40="適用","主たる営業所の所在地","")</f>
      </c>
      <c r="C51" s="322"/>
      <c r="D51" s="322"/>
      <c r="E51" s="322"/>
    </row>
    <row r="52" spans="1:5" ht="18" customHeight="1">
      <c r="A52" s="312"/>
      <c r="B52" s="62">
        <f>IF('入力シート'!$C$40="適用","添付資料","")</f>
      </c>
      <c r="C52" s="323">
        <f>IF('入力シート'!$C$40="適用","（添付する資料名を記入して下さい。）","")</f>
      </c>
      <c r="D52" s="324"/>
      <c r="E52" s="325">
        <f>IF('入力シート'!$C$40="適用","添付資料","")</f>
      </c>
    </row>
    <row r="53" spans="1:5" ht="18" customHeight="1">
      <c r="A53" s="301" t="s">
        <v>253</v>
      </c>
      <c r="B53" s="301" t="str">
        <f>IF('入力シート'!$C$42="適用","横浜市災害協力事業者名簿の登載","不適用")</f>
        <v>横浜市災害協力事業者名簿の登載</v>
      </c>
      <c r="C53" s="304"/>
      <c r="D53" s="304"/>
      <c r="E53" s="304"/>
    </row>
    <row r="54" spans="1:5" ht="18" customHeight="1">
      <c r="A54" s="303"/>
      <c r="B54" s="303"/>
      <c r="C54" s="311" t="str">
        <f>IF('入力シート'!$C$42="適用","（有、無どちらかを記入して下さい。）","")</f>
        <v>（有、無どちらかを記入して下さい。）</v>
      </c>
      <c r="D54" s="311"/>
      <c r="E54" s="311">
        <f>IF('入力シート'!$C$39="適用","添付書類","")</f>
      </c>
    </row>
    <row r="55" spans="1:5" ht="14.25" customHeight="1">
      <c r="A55" s="312" t="s">
        <v>251</v>
      </c>
      <c r="B55" s="301" t="str">
        <f>IF('入力シート'!$C$43="適用","ISO14001の登録","不適用")</f>
        <v>ISO14001の登録</v>
      </c>
      <c r="C55" s="304"/>
      <c r="D55" s="304"/>
      <c r="E55" s="304"/>
    </row>
    <row r="56" spans="1:5" ht="14.25" customHeight="1">
      <c r="A56" s="312"/>
      <c r="B56" s="303"/>
      <c r="C56" s="311" t="str">
        <f>IF('入力シート'!$C$43="適用","（有、無どちらかを記入して下さい。）","")</f>
        <v>（有、無どちらかを記入して下さい。）</v>
      </c>
      <c r="D56" s="311"/>
      <c r="E56" s="311">
        <f>IF('入力シート'!$C$39="適用","添付書類","")</f>
      </c>
    </row>
    <row r="57" spans="1:5" ht="14.25" customHeight="1">
      <c r="A57" s="312"/>
      <c r="B57" s="62" t="str">
        <f>IF('入力シート'!$C$43="適用","添付書類","")</f>
        <v>添付書類</v>
      </c>
      <c r="C57" s="316" t="str">
        <f>IF('入力シート'!$C$43="適用","登録証の写し及び登録範囲が確認できる付属書等の写し","")</f>
        <v>登録証の写し及び登録範囲が確認できる付属書等の写し</v>
      </c>
      <c r="D57" s="317"/>
      <c r="E57" s="318"/>
    </row>
    <row r="58" spans="1:5" ht="31.5" customHeight="1">
      <c r="A58" s="145" t="s">
        <v>254</v>
      </c>
      <c r="B58" s="145" t="str">
        <f>IF('入力シート'!$C$44="適用","市内中小企業の活用目標値(％)","不適用")</f>
        <v>不適用</v>
      </c>
      <c r="C58" s="298">
        <f>IF('入力シート'!$C$44="適用","（目標値（％）を整数で記入して下さい。）","")</f>
      </c>
      <c r="D58" s="299"/>
      <c r="E58" s="300"/>
    </row>
    <row r="59" spans="1:5" ht="17.25" customHeight="1">
      <c r="A59" s="301" t="s">
        <v>239</v>
      </c>
      <c r="B59" s="290" t="str">
        <f>IF('入力シート'!$C$46="適用","横浜型地域貢献企業の認定","不適用")</f>
        <v>横浜型地域貢献企業の認定</v>
      </c>
      <c r="C59" s="304"/>
      <c r="D59" s="304"/>
      <c r="E59" s="304"/>
    </row>
    <row r="60" spans="1:5" s="9" customFormat="1" ht="18.75" customHeight="1">
      <c r="A60" s="302"/>
      <c r="B60" s="292"/>
      <c r="C60" s="305" t="str">
        <f>IF('入力シート'!$C$46="適用","（有、無どちらかを記入して下さい。）","")</f>
        <v>（有、無どちらかを記入して下さい。）</v>
      </c>
      <c r="D60" s="306"/>
      <c r="E60" s="307"/>
    </row>
    <row r="61" spans="1:5" ht="18" customHeight="1">
      <c r="A61" s="303"/>
      <c r="B61" s="141" t="str">
        <f>IF('入力シート'!$C$46="適用","添付書類","")</f>
        <v>添付書類</v>
      </c>
      <c r="C61" s="348" t="str">
        <f>IF('入力シート'!$C$46="適用","認定証の写し","")</f>
        <v>認定証の写し</v>
      </c>
      <c r="D61" s="349"/>
      <c r="E61" s="350"/>
    </row>
    <row r="62" spans="1:5" ht="17.25" customHeight="1">
      <c r="A62" s="308" t="s">
        <v>255</v>
      </c>
      <c r="B62" s="146" t="str">
        <f>IF('入力シート'!$C$47="適用","保有する建設機械","不適用")</f>
        <v>不適用</v>
      </c>
      <c r="C62" s="293">
        <f>IF('入力シート'!$C$47="適用","（1台のみ記入して下さい。）","")</f>
      </c>
      <c r="D62" s="294"/>
      <c r="E62" s="295"/>
    </row>
    <row r="63" spans="1:5" ht="17.25" customHeight="1">
      <c r="A63" s="309"/>
      <c r="B63" s="290">
        <f>IF('入力シート'!$C$47="適用","添付書類","")</f>
      </c>
      <c r="C63" s="293">
        <f>IF('入力シート'!$C$47="適用","(添付する資料名を記入してください。）","")</f>
      </c>
      <c r="D63" s="294"/>
      <c r="E63" s="295"/>
    </row>
    <row r="64" spans="1:5" ht="18" customHeight="1">
      <c r="A64" s="310"/>
      <c r="B64" s="292"/>
      <c r="C64" s="348">
        <f>IF('入力シート'!$C$47="適用","当該建設機械の写真","")</f>
      </c>
      <c r="D64" s="349"/>
      <c r="E64" s="350"/>
    </row>
    <row r="65" spans="1:5" ht="4.5" customHeight="1">
      <c r="A65" s="80"/>
      <c r="B65" s="80"/>
      <c r="C65" s="80"/>
      <c r="D65" s="80"/>
      <c r="E65" s="80"/>
    </row>
    <row r="66" spans="1:5" ht="12">
      <c r="A66" s="80"/>
      <c r="B66" s="81" t="s">
        <v>4</v>
      </c>
      <c r="C66" s="82" t="s">
        <v>5</v>
      </c>
      <c r="D66" s="296" t="str">
        <f>'入力シート'!E13</f>
        <v>○○　○○</v>
      </c>
      <c r="E66" s="296"/>
    </row>
    <row r="67" spans="1:5" ht="12">
      <c r="A67" s="80"/>
      <c r="B67" s="80"/>
      <c r="C67" s="83" t="s">
        <v>6</v>
      </c>
      <c r="D67" s="297" t="str">
        <f>'入力シート'!E14</f>
        <v>045-999-9999</v>
      </c>
      <c r="E67" s="297"/>
    </row>
    <row r="68" spans="1:10" ht="12">
      <c r="A68" s="80"/>
      <c r="B68" s="80"/>
      <c r="C68" s="83" t="s">
        <v>7</v>
      </c>
      <c r="D68" s="297" t="str">
        <f>'入力シート'!E15</f>
        <v>045-111-1111</v>
      </c>
      <c r="E68" s="297"/>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horizontalCentered="1"/>
  <pageMargins left="0.4330708661417323" right="0.15748031496062992" top="0.2362204724409449" bottom="0.2755905511811024" header="0.15748031496062992" footer="0.1968503937007874"/>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2014-10-16T08:20:58Z</dcterms:modified>
  <cp:category/>
  <cp:version/>
  <cp:contentType/>
  <cp:contentStatus/>
</cp:coreProperties>
</file>